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usdagcc-my.sharepoint.com/personal/allen_torbert_usda_gov/Documents/Desktop/Hold it folder/Good grief more holding/Power Requirement/"/>
    </mc:Choice>
  </mc:AlternateContent>
  <xr:revisionPtr revIDLastSave="105" documentId="13_ncr:1_{F3024D44-0CDA-4D5A-B30B-8A87EC83077A}" xr6:coauthVersionLast="47" xr6:coauthVersionMax="47" xr10:uidLastSave="{263C5E00-8247-45F6-91B1-D578DC08626F}"/>
  <bookViews>
    <workbookView xWindow="-120" yWindow="-120" windowWidth="29040" windowHeight="15720" activeTab="1" xr2:uid="{43912C4F-08E2-46BC-8C80-A78223A71A12}"/>
  </bookViews>
  <sheets>
    <sheet name="INTRO" sheetId="4" r:id="rId1"/>
    <sheet name="RECOMMENDATIONS" sheetId="1" r:id="rId2"/>
    <sheet name="TOWED_IMPLEMENTS" sheetId="2" r:id="rId3"/>
    <sheet name="COMBINE_TRACTOR_UTV"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1" l="1"/>
  <c r="L38" i="3"/>
  <c r="L37" i="3"/>
  <c r="F6" i="1"/>
  <c r="C18" i="1"/>
  <c r="C15" i="1"/>
  <c r="C12" i="1"/>
  <c r="C9" i="1"/>
  <c r="P389" i="2"/>
  <c r="B389" i="2"/>
  <c r="P388" i="2"/>
  <c r="B388" i="2"/>
  <c r="P387" i="2"/>
  <c r="B387" i="2"/>
  <c r="P386" i="2"/>
  <c r="B386" i="2"/>
  <c r="P385" i="2"/>
  <c r="B385" i="2"/>
  <c r="P384" i="2"/>
  <c r="B384" i="2"/>
  <c r="P383" i="2"/>
  <c r="B383" i="2"/>
  <c r="P382" i="2"/>
  <c r="B382" i="2"/>
  <c r="P381" i="2"/>
  <c r="P380" i="2"/>
  <c r="P379" i="2"/>
  <c r="P378" i="2"/>
  <c r="P377" i="2"/>
  <c r="P376" i="2"/>
  <c r="P375" i="2"/>
  <c r="P374" i="2"/>
  <c r="P373" i="2"/>
  <c r="P372" i="2"/>
  <c r="P371" i="2"/>
  <c r="P370" i="2"/>
  <c r="P369" i="2"/>
  <c r="P368" i="2"/>
  <c r="P367" i="2"/>
  <c r="P366" i="2"/>
  <c r="P365" i="2"/>
  <c r="P364" i="2"/>
  <c r="B364" i="2"/>
  <c r="P363" i="2"/>
  <c r="B363" i="2"/>
  <c r="P362" i="2"/>
  <c r="B362" i="2"/>
  <c r="P361" i="2"/>
  <c r="B361" i="2"/>
  <c r="P360" i="2"/>
  <c r="B360" i="2"/>
  <c r="P359" i="2"/>
  <c r="B359" i="2"/>
  <c r="P358" i="2"/>
  <c r="B358" i="2"/>
  <c r="P357" i="2"/>
  <c r="B357" i="2"/>
  <c r="P356" i="2"/>
  <c r="B356" i="2"/>
  <c r="P355" i="2"/>
  <c r="B355" i="2"/>
  <c r="P354" i="2"/>
  <c r="P353" i="2"/>
  <c r="P352" i="2"/>
  <c r="P351" i="2"/>
  <c r="P350" i="2"/>
  <c r="P349" i="2"/>
  <c r="P348" i="2"/>
  <c r="P347" i="2"/>
  <c r="P346" i="2"/>
  <c r="P345" i="2"/>
  <c r="P344" i="2"/>
  <c r="P343" i="2"/>
  <c r="P342" i="2"/>
  <c r="P341" i="2"/>
  <c r="P340" i="2"/>
  <c r="P339" i="2"/>
  <c r="B339" i="2"/>
  <c r="P338" i="2"/>
  <c r="P337" i="2"/>
  <c r="P336" i="2"/>
  <c r="P335" i="2"/>
  <c r="P334" i="2"/>
  <c r="P333" i="2"/>
  <c r="P332" i="2"/>
  <c r="P331" i="2"/>
  <c r="P330" i="2"/>
  <c r="P329" i="2"/>
  <c r="P328" i="2"/>
  <c r="P327" i="2"/>
  <c r="P326" i="2"/>
  <c r="P325" i="2"/>
  <c r="P324" i="2"/>
  <c r="P323" i="2"/>
  <c r="P322" i="2"/>
  <c r="P321" i="2"/>
  <c r="P320" i="2"/>
  <c r="P319" i="2"/>
  <c r="P318" i="2"/>
  <c r="P317" i="2"/>
  <c r="P316" i="2"/>
  <c r="P315" i="2"/>
  <c r="P314" i="2"/>
  <c r="P313" i="2"/>
  <c r="P312" i="2"/>
  <c r="B312" i="2"/>
  <c r="P311" i="2"/>
  <c r="B311" i="2"/>
  <c r="P310" i="2"/>
  <c r="B310" i="2"/>
  <c r="P309" i="2"/>
  <c r="B309" i="2"/>
  <c r="P308" i="2"/>
  <c r="B308" i="2"/>
  <c r="P307" i="2"/>
  <c r="B307" i="2"/>
  <c r="P306" i="2"/>
  <c r="B306" i="2"/>
  <c r="P305" i="2"/>
  <c r="B305" i="2"/>
  <c r="P304" i="2"/>
  <c r="B304" i="2"/>
  <c r="P303" i="2"/>
  <c r="B303" i="2"/>
  <c r="P302" i="2"/>
  <c r="B302" i="2"/>
  <c r="P301" i="2"/>
  <c r="B301" i="2"/>
  <c r="P300" i="2"/>
  <c r="B300" i="2"/>
  <c r="P299" i="2"/>
  <c r="B299" i="2"/>
  <c r="P298" i="2"/>
  <c r="B298" i="2"/>
  <c r="P297" i="2"/>
  <c r="B297" i="2"/>
  <c r="P296" i="2"/>
  <c r="B296" i="2"/>
  <c r="P295" i="2"/>
  <c r="B295" i="2"/>
  <c r="P294" i="2"/>
  <c r="B294" i="2"/>
  <c r="P293" i="2"/>
  <c r="B293" i="2"/>
  <c r="P292" i="2"/>
  <c r="B292" i="2"/>
  <c r="P291" i="2"/>
  <c r="B291" i="2"/>
  <c r="P290" i="2"/>
  <c r="B290" i="2"/>
  <c r="P289" i="2"/>
  <c r="B289" i="2"/>
  <c r="P288" i="2"/>
  <c r="B288" i="2"/>
  <c r="P287" i="2"/>
  <c r="B287" i="2"/>
  <c r="P286" i="2"/>
  <c r="B286" i="2"/>
  <c r="P285" i="2"/>
  <c r="B285" i="2"/>
  <c r="P284" i="2"/>
  <c r="B284" i="2"/>
  <c r="P283" i="2"/>
  <c r="B283" i="2"/>
  <c r="P282" i="2"/>
  <c r="B282" i="2"/>
  <c r="P281" i="2"/>
  <c r="B281" i="2"/>
  <c r="P280" i="2"/>
  <c r="B280" i="2"/>
  <c r="P279" i="2"/>
  <c r="B279" i="2"/>
  <c r="P278" i="2"/>
  <c r="B278" i="2"/>
  <c r="P277" i="2"/>
  <c r="B277" i="2"/>
  <c r="P276" i="2"/>
  <c r="B276" i="2"/>
  <c r="P275" i="2"/>
  <c r="B275" i="2"/>
  <c r="P274" i="2"/>
  <c r="B274" i="2"/>
  <c r="P273" i="2"/>
  <c r="B273" i="2"/>
  <c r="P272" i="2"/>
  <c r="B272" i="2"/>
  <c r="P271" i="2"/>
  <c r="B271" i="2"/>
  <c r="P270" i="2"/>
  <c r="B270" i="2"/>
  <c r="P269" i="2"/>
  <c r="B269" i="2"/>
  <c r="P268" i="2"/>
  <c r="B268" i="2"/>
  <c r="P267" i="2"/>
  <c r="B267" i="2"/>
  <c r="P266" i="2"/>
  <c r="B266" i="2"/>
  <c r="P265" i="2"/>
  <c r="B265" i="2"/>
  <c r="P264" i="2"/>
  <c r="P263" i="2"/>
  <c r="P262" i="2"/>
  <c r="B262" i="2"/>
  <c r="P261" i="2"/>
  <c r="B261" i="2"/>
  <c r="P260" i="2"/>
  <c r="B260" i="2"/>
  <c r="P259" i="2"/>
  <c r="B259" i="2"/>
  <c r="P258" i="2"/>
  <c r="B258" i="2"/>
  <c r="P257" i="2"/>
  <c r="B257" i="2"/>
  <c r="P256" i="2"/>
  <c r="B256" i="2"/>
  <c r="P255" i="2"/>
  <c r="B255" i="2"/>
  <c r="P254" i="2"/>
  <c r="B254" i="2"/>
  <c r="P253" i="2"/>
  <c r="B253" i="2"/>
  <c r="P252" i="2"/>
  <c r="B252" i="2"/>
  <c r="P251" i="2"/>
  <c r="B251" i="2"/>
  <c r="P250" i="2"/>
  <c r="B250" i="2"/>
  <c r="P249" i="2"/>
  <c r="B249" i="2"/>
  <c r="P248" i="2"/>
  <c r="B248" i="2"/>
  <c r="P247" i="2"/>
  <c r="B247" i="2"/>
  <c r="P246" i="2"/>
  <c r="B246" i="2"/>
  <c r="P245" i="2"/>
  <c r="B245" i="2"/>
  <c r="P244" i="2"/>
  <c r="B244" i="2"/>
  <c r="P243" i="2"/>
  <c r="B243" i="2"/>
  <c r="P242" i="2"/>
  <c r="B242" i="2"/>
  <c r="P241" i="2"/>
  <c r="B241" i="2"/>
  <c r="P240" i="2"/>
  <c r="B240" i="2"/>
  <c r="P239" i="2"/>
  <c r="B239" i="2"/>
  <c r="P238" i="2"/>
  <c r="B238" i="2"/>
  <c r="P237" i="2"/>
  <c r="B237" i="2"/>
  <c r="P236" i="2"/>
  <c r="B236" i="2"/>
  <c r="P235" i="2"/>
  <c r="B235" i="2"/>
  <c r="P234" i="2"/>
  <c r="B234" i="2"/>
  <c r="P233" i="2"/>
  <c r="B233" i="2"/>
  <c r="P232" i="2"/>
  <c r="B232" i="2"/>
  <c r="P231" i="2"/>
  <c r="B231" i="2"/>
  <c r="P230" i="2"/>
  <c r="B230" i="2"/>
  <c r="P229" i="2"/>
  <c r="B229" i="2"/>
  <c r="P228" i="2"/>
  <c r="B228" i="2"/>
  <c r="P227" i="2"/>
  <c r="B227" i="2"/>
  <c r="P226" i="2"/>
  <c r="B226" i="2"/>
  <c r="P225" i="2"/>
  <c r="B225" i="2"/>
  <c r="P224" i="2"/>
  <c r="B224" i="2"/>
  <c r="P223" i="2"/>
  <c r="B223" i="2"/>
  <c r="P222" i="2"/>
  <c r="B222" i="2"/>
  <c r="P221" i="2"/>
  <c r="B221" i="2"/>
  <c r="P220" i="2"/>
  <c r="B220" i="2"/>
  <c r="P219" i="2"/>
  <c r="B219" i="2"/>
  <c r="P218" i="2"/>
  <c r="B218" i="2"/>
  <c r="P217" i="2"/>
  <c r="B217" i="2"/>
  <c r="P216" i="2"/>
  <c r="B216" i="2"/>
  <c r="P215" i="2"/>
  <c r="B215" i="2"/>
  <c r="P214" i="2"/>
  <c r="B214" i="2"/>
  <c r="P213" i="2"/>
  <c r="B213" i="2"/>
  <c r="P212" i="2"/>
  <c r="B212" i="2"/>
  <c r="P211" i="2"/>
  <c r="B211" i="2"/>
  <c r="P210" i="2"/>
  <c r="B210" i="2"/>
  <c r="P209" i="2"/>
  <c r="B209" i="2"/>
  <c r="P208" i="2"/>
  <c r="B208" i="2"/>
  <c r="P207" i="2"/>
  <c r="B207" i="2"/>
  <c r="P206" i="2"/>
  <c r="B206" i="2"/>
  <c r="P205" i="2"/>
  <c r="B205" i="2"/>
  <c r="P204" i="2"/>
  <c r="B204" i="2"/>
  <c r="P203" i="2"/>
  <c r="B203" i="2"/>
  <c r="P202" i="2"/>
  <c r="B202" i="2"/>
  <c r="P201" i="2"/>
  <c r="B201" i="2"/>
  <c r="P200" i="2"/>
  <c r="P199" i="2"/>
  <c r="P198" i="2"/>
  <c r="P197" i="2"/>
  <c r="P196" i="2"/>
  <c r="P195" i="2"/>
  <c r="P194" i="2"/>
  <c r="P193" i="2"/>
  <c r="P192" i="2"/>
  <c r="P191" i="2"/>
  <c r="P190" i="2"/>
  <c r="P189" i="2"/>
  <c r="P188" i="2"/>
  <c r="P187" i="2"/>
  <c r="B187" i="2"/>
  <c r="P186" i="2"/>
  <c r="B186" i="2"/>
  <c r="P185" i="2"/>
  <c r="B185" i="2"/>
  <c r="P184" i="2"/>
  <c r="B184" i="2"/>
  <c r="P183" i="2"/>
  <c r="B183" i="2"/>
  <c r="P182" i="2"/>
  <c r="B182" i="2"/>
  <c r="P181" i="2"/>
  <c r="B181" i="2"/>
  <c r="P180" i="2"/>
  <c r="B180" i="2"/>
  <c r="P179" i="2"/>
  <c r="P178" i="2"/>
  <c r="P177" i="2"/>
  <c r="P176" i="2"/>
  <c r="P175" i="2"/>
  <c r="P174" i="2"/>
  <c r="P173" i="2"/>
  <c r="P172" i="2"/>
  <c r="P171" i="2"/>
  <c r="P170" i="2"/>
  <c r="P169" i="2"/>
  <c r="P168" i="2"/>
  <c r="P167" i="2"/>
  <c r="P166" i="2"/>
  <c r="P165" i="2"/>
  <c r="P164" i="2"/>
  <c r="P163" i="2"/>
  <c r="P162" i="2"/>
  <c r="P161" i="2"/>
  <c r="P160" i="2"/>
  <c r="P159" i="2"/>
  <c r="P158" i="2"/>
  <c r="P157" i="2"/>
  <c r="B157" i="2"/>
  <c r="P156" i="2"/>
  <c r="B156" i="2"/>
  <c r="P155" i="2"/>
  <c r="B155" i="2"/>
  <c r="P154" i="2"/>
  <c r="B154" i="2"/>
  <c r="P153" i="2"/>
  <c r="B153" i="2"/>
  <c r="P152" i="2"/>
  <c r="B152" i="2"/>
  <c r="P151" i="2"/>
  <c r="P150" i="2"/>
  <c r="P149" i="2"/>
  <c r="P148" i="2"/>
  <c r="P147" i="2"/>
  <c r="P146" i="2"/>
  <c r="P145" i="2"/>
  <c r="P144" i="2"/>
  <c r="P143" i="2"/>
  <c r="P142" i="2"/>
  <c r="P141" i="2"/>
  <c r="P140" i="2"/>
  <c r="P139" i="2"/>
  <c r="P138" i="2"/>
  <c r="P137" i="2"/>
  <c r="P136" i="2"/>
  <c r="P135" i="2"/>
  <c r="P134" i="2"/>
  <c r="P133" i="2"/>
  <c r="B133" i="2"/>
  <c r="P132" i="2"/>
  <c r="P131" i="2"/>
  <c r="P130" i="2"/>
  <c r="P129" i="2"/>
  <c r="P128" i="2"/>
  <c r="P127" i="2"/>
  <c r="P126" i="2"/>
  <c r="P125" i="2"/>
  <c r="P124" i="2"/>
  <c r="P123" i="2"/>
  <c r="P122" i="2"/>
  <c r="P121" i="2"/>
  <c r="P120" i="2"/>
  <c r="P119" i="2"/>
  <c r="P118" i="2"/>
  <c r="P117" i="2"/>
  <c r="P116" i="2"/>
  <c r="P115" i="2"/>
  <c r="P114" i="2"/>
  <c r="P113" i="2"/>
  <c r="P112" i="2"/>
  <c r="P111" i="2"/>
  <c r="P110" i="2"/>
  <c r="B110" i="2"/>
  <c r="P109" i="2"/>
  <c r="B109" i="2"/>
  <c r="P108" i="2"/>
  <c r="B108" i="2"/>
  <c r="P107" i="2"/>
  <c r="B107" i="2"/>
  <c r="P106" i="2"/>
  <c r="B106" i="2"/>
  <c r="P105" i="2"/>
  <c r="B105" i="2"/>
  <c r="P104" i="2"/>
  <c r="B104" i="2"/>
  <c r="P103" i="2"/>
  <c r="B103" i="2"/>
  <c r="P102" i="2"/>
  <c r="P101" i="2"/>
  <c r="P100" i="2"/>
  <c r="P99" i="2"/>
  <c r="P98" i="2"/>
  <c r="P97" i="2"/>
  <c r="P96" i="2"/>
  <c r="P95" i="2"/>
  <c r="P94" i="2"/>
  <c r="P93" i="2"/>
  <c r="P92" i="2"/>
  <c r="P91" i="2"/>
  <c r="P90" i="2"/>
  <c r="P89" i="2"/>
  <c r="P88" i="2"/>
  <c r="P87" i="2"/>
  <c r="P86" i="2"/>
  <c r="P85" i="2"/>
  <c r="B85" i="2"/>
  <c r="P84" i="2"/>
  <c r="B84" i="2"/>
  <c r="P83" i="2"/>
  <c r="B83" i="2"/>
  <c r="P82" i="2"/>
  <c r="B82" i="2"/>
  <c r="P81" i="2"/>
  <c r="B81" i="2"/>
  <c r="P80" i="2"/>
  <c r="B80" i="2"/>
  <c r="P79" i="2"/>
  <c r="B79" i="2"/>
  <c r="P78" i="2"/>
  <c r="B78" i="2"/>
  <c r="P77" i="2"/>
  <c r="B77" i="2"/>
  <c r="P76" i="2"/>
  <c r="B76" i="2"/>
  <c r="P75" i="2"/>
  <c r="B75" i="2"/>
  <c r="P74" i="2"/>
  <c r="B74" i="2"/>
  <c r="P73" i="2"/>
  <c r="B73" i="2"/>
  <c r="P72" i="2"/>
  <c r="B72" i="2"/>
  <c r="P71" i="2"/>
  <c r="B71" i="2"/>
  <c r="P70" i="2"/>
  <c r="B70" i="2"/>
  <c r="P69" i="2"/>
  <c r="B69" i="2"/>
  <c r="P68" i="2"/>
  <c r="B68" i="2"/>
  <c r="P67" i="2"/>
  <c r="B67" i="2"/>
  <c r="P66" i="2"/>
  <c r="B66" i="2"/>
  <c r="P65" i="2"/>
  <c r="P64" i="2"/>
  <c r="P63" i="2"/>
  <c r="P62" i="2"/>
  <c r="P61" i="2"/>
  <c r="P60" i="2"/>
  <c r="P59" i="2"/>
  <c r="P58" i="2"/>
  <c r="P57" i="2"/>
  <c r="P56" i="2"/>
  <c r="B56" i="2"/>
  <c r="P55" i="2"/>
  <c r="B55" i="2"/>
  <c r="P54" i="2"/>
  <c r="B54" i="2"/>
  <c r="P53" i="2"/>
  <c r="B53" i="2"/>
  <c r="P52" i="2"/>
  <c r="B52" i="2"/>
  <c r="P51" i="2"/>
  <c r="B51" i="2"/>
  <c r="P50" i="2"/>
  <c r="B50" i="2"/>
  <c r="P49" i="2"/>
  <c r="B49" i="2"/>
  <c r="P48" i="2"/>
  <c r="B48" i="2"/>
  <c r="P47" i="2"/>
  <c r="B47" i="2"/>
  <c r="P46" i="2"/>
  <c r="B46" i="2"/>
  <c r="P45" i="2"/>
  <c r="B45" i="2"/>
  <c r="P44" i="2"/>
  <c r="B44" i="2"/>
  <c r="P43" i="2"/>
  <c r="B43" i="2"/>
  <c r="P42" i="2"/>
  <c r="B42" i="2"/>
  <c r="P41" i="2"/>
  <c r="B41" i="2"/>
  <c r="P40" i="2"/>
  <c r="B40" i="2"/>
  <c r="P39" i="2"/>
  <c r="B39" i="2"/>
  <c r="P38" i="2"/>
  <c r="B38" i="2"/>
  <c r="P37" i="2"/>
  <c r="B37" i="2"/>
  <c r="P36" i="2"/>
  <c r="B36" i="2"/>
  <c r="P35" i="2"/>
  <c r="B35" i="2"/>
  <c r="P34" i="2"/>
  <c r="B34" i="2"/>
  <c r="P33" i="2"/>
  <c r="B33" i="2"/>
  <c r="P32" i="2"/>
  <c r="B32" i="2"/>
  <c r="P31" i="2"/>
  <c r="B31" i="2"/>
  <c r="P30" i="2"/>
  <c r="B30" i="2"/>
  <c r="P29" i="2"/>
  <c r="B29" i="2"/>
  <c r="P28" i="2"/>
  <c r="B28" i="2"/>
  <c r="P27" i="2"/>
  <c r="B27" i="2"/>
  <c r="P26" i="2"/>
  <c r="B26" i="2"/>
  <c r="P25" i="2"/>
  <c r="B25" i="2"/>
  <c r="P24" i="2"/>
  <c r="B24" i="2"/>
  <c r="P23" i="2"/>
  <c r="B23" i="2"/>
  <c r="P22" i="2"/>
  <c r="B22" i="2"/>
  <c r="P21" i="2"/>
  <c r="B21" i="2"/>
  <c r="P20" i="2"/>
  <c r="B20" i="2"/>
  <c r="P19" i="2"/>
  <c r="B19" i="2"/>
  <c r="P18" i="2"/>
  <c r="B18" i="2"/>
  <c r="P17" i="2"/>
  <c r="B17" i="2"/>
  <c r="P16" i="2"/>
  <c r="B16" i="2"/>
  <c r="P15" i="2"/>
  <c r="B15" i="2"/>
  <c r="P14" i="2"/>
  <c r="B14" i="2"/>
  <c r="P13" i="2"/>
  <c r="B13" i="2"/>
  <c r="P12" i="2"/>
  <c r="B12" i="2"/>
  <c r="P11" i="2"/>
  <c r="B11" i="2"/>
  <c r="P10" i="2"/>
  <c r="B10" i="2"/>
  <c r="P9" i="2"/>
  <c r="B9" i="2"/>
  <c r="P8" i="2"/>
  <c r="B8" i="2"/>
  <c r="P7" i="2"/>
  <c r="B7" i="2"/>
  <c r="P6" i="2"/>
  <c r="B6" i="2"/>
  <c r="P5" i="2"/>
  <c r="B5" i="2"/>
  <c r="P4" i="2"/>
  <c r="B4" i="2"/>
  <c r="F12" i="1" l="1"/>
  <c r="F15" i="1"/>
  <c r="F18" i="1"/>
  <c r="F9" i="1"/>
</calcChain>
</file>

<file path=xl/sharedStrings.xml><?xml version="1.0" encoding="utf-8"?>
<sst xmlns="http://schemas.openxmlformats.org/spreadsheetml/2006/main" count="874" uniqueCount="466">
  <si>
    <t>---</t>
  </si>
  <si>
    <t>EQUIPMENT/SIZE</t>
  </si>
  <si>
    <t>PURCHASE 
PRICE ($)</t>
  </si>
  <si>
    <t>ANNUAL 
USE (HOURS)</t>
  </si>
  <si>
    <t>USEFUL 
LIFE (YEARS)</t>
  </si>
  <si>
    <t>FUEL 
USE (GAL/HR)</t>
  </si>
  <si>
    <t>LABOR 
($/HR)</t>
  </si>
  <si>
    <t>FUEL 
($/HR)</t>
  </si>
  <si>
    <t>R&amp;M 
($/HR)</t>
  </si>
  <si>
    <t>TOTAL_DIRECT 
($/HR)</t>
  </si>
  <si>
    <t>FIXED 
($/HR)</t>
  </si>
  <si>
    <t>TOTAL_COST
($/HR)</t>
  </si>
  <si>
    <t>HP</t>
  </si>
  <si>
    <t>None</t>
  </si>
  <si>
    <t>COMBINE_265HP</t>
  </si>
  <si>
    <t>COMBINE_325HP</t>
  </si>
  <si>
    <t>COMBINE_355HP</t>
  </si>
  <si>
    <t>COMBINE_425HP</t>
  </si>
  <si>
    <t>COMBINE_475HP</t>
  </si>
  <si>
    <t>TRACTOR_MFWD_030HP_CB</t>
  </si>
  <si>
    <t>TRACTOR_MFWD_030HP_RB</t>
  </si>
  <si>
    <t>TRACTOR_2WD_050HP_CB</t>
  </si>
  <si>
    <t>TRACTOR_MFWD_050HP_CB</t>
  </si>
  <si>
    <t>TRACTOR_2WD_050HP_RB</t>
  </si>
  <si>
    <t>TRACTOR_MFWD_050HP_RB</t>
  </si>
  <si>
    <t>TRACTOR_2WD_075HP_CB</t>
  </si>
  <si>
    <t>TRACTOR_MFWD_075HP_CB</t>
  </si>
  <si>
    <t>TRACTOR_2WD_075HP_RB</t>
  </si>
  <si>
    <t>TRACTOR_MFWD_075HP_RB</t>
  </si>
  <si>
    <t>TRACTOR_2WD_105HP_CB</t>
  </si>
  <si>
    <t>TRACTOR_MFWD_105HP_CB</t>
  </si>
  <si>
    <t>TRACTOR_2WD_105HP_RB</t>
  </si>
  <si>
    <t>TRACTOR_MFWD_105HP_RB</t>
  </si>
  <si>
    <t>TRACTOR_2WD_130HP_CB</t>
  </si>
  <si>
    <t>TRACTOR_MFWD_130HP_CB</t>
  </si>
  <si>
    <t>TRACTOR_2WD_150HP_CB</t>
  </si>
  <si>
    <t>TRACTOR_MFWD_150HP_CB</t>
  </si>
  <si>
    <t>TRACTOR_MFWD_170HP_CB</t>
  </si>
  <si>
    <t>TRACTOR_MFWD_190HP_CB</t>
  </si>
  <si>
    <t>TRACTOR_MFWD_225HP_CB</t>
  </si>
  <si>
    <t>TRACTOR_4WD_300HP_CB</t>
  </si>
  <si>
    <t>TRACTOR_MFWD_300HP_CB</t>
  </si>
  <si>
    <t>TRACTOR_TRACK_300HP_CB</t>
  </si>
  <si>
    <t>TRACTOR_4WD_400HP_CB</t>
  </si>
  <si>
    <t>TRACTOR_TRACK_400HP_CB</t>
  </si>
  <si>
    <t>TRACTOR_4WD_500HP_CB</t>
  </si>
  <si>
    <t>TRACTOR_TRACK_500HP_CB</t>
  </si>
  <si>
    <t>UTV_800CC</t>
  </si>
  <si>
    <t>UTV_900CC</t>
  </si>
  <si>
    <t>WIDTH 
(FEET)</t>
  </si>
  <si>
    <t>RECOMMENDED 
POWER UNIT</t>
  </si>
  <si>
    <t>USEFUL 
LIFE 
(YEARS)</t>
  </si>
  <si>
    <t>PERF_RATE
(HR/ACRE)</t>
  </si>
  <si>
    <t>LABOR 
($/ACRE)</t>
  </si>
  <si>
    <t>FUEL 
($/ACRE)</t>
  </si>
  <si>
    <t>R&amp;M_IMP 
($/ACRE)</t>
  </si>
  <si>
    <t>R&amp;M_PU 
($/ACRE)</t>
  </si>
  <si>
    <t>TOTAL_DIRECT 
($/ACRE)</t>
  </si>
  <si>
    <t>FIXED_IMP 
($/ACRE)</t>
  </si>
  <si>
    <t>FIXED_PU
($/ACRE)</t>
  </si>
  <si>
    <t>TOTAL_COST
($/ACRE)</t>
  </si>
  <si>
    <t>Bed_Disk_Hipper_04R38"</t>
  </si>
  <si>
    <t>Bed_Disk_Hipper_06R38"</t>
  </si>
  <si>
    <t>Bed_Disk_Hipper_08R30"</t>
  </si>
  <si>
    <t>Bed_Disk_Hipper_08R38"_(2x1)</t>
  </si>
  <si>
    <t>Bed_Disk_Hipper_12R30"</t>
  </si>
  <si>
    <t>Bed_Disk_Hipper_12R38"</t>
  </si>
  <si>
    <t>Bed_Disk_Hipper_16R40"</t>
  </si>
  <si>
    <t>Bed_Disk_Hipper_Folding_08R38"</t>
  </si>
  <si>
    <t>Bed_Disk_Hipper_Rigid_08R38"</t>
  </si>
  <si>
    <t>Bed_Disk_Roller_08R30"</t>
  </si>
  <si>
    <t xml:space="preserve"> </t>
  </si>
  <si>
    <t>Bed_Disk_Roller_08R38"</t>
  </si>
  <si>
    <t>Bed_Disk_Roller_12R30-40"</t>
  </si>
  <si>
    <t>Bed_Lister_04R38"</t>
  </si>
  <si>
    <t>Bed_Lister_06R38"</t>
  </si>
  <si>
    <t>Bed_Lister_08R30"</t>
  </si>
  <si>
    <t>Bed_Lister_08R38"</t>
  </si>
  <si>
    <t>Bed_Lister_08R38"_(2x1)</t>
  </si>
  <si>
    <t>Bed_Lister_12R38"</t>
  </si>
  <si>
    <t>Bed_Lister_16R30"</t>
  </si>
  <si>
    <t>Bed_Lister_16R40"</t>
  </si>
  <si>
    <t>Bed_Lister_Roller_Folding_08R38"</t>
  </si>
  <si>
    <t>Bed_Lister_Roller_Folding_12R30"</t>
  </si>
  <si>
    <t>Bed_Lister_Roller_Folding_12R38"</t>
  </si>
  <si>
    <t>Bed_Lister_Roller_Folding_16R30"</t>
  </si>
  <si>
    <t>Bed_Lister_Roller_Rigid_08R38"</t>
  </si>
  <si>
    <t>Bed_Paratill_Roller_04R30"</t>
  </si>
  <si>
    <t>Bed_Paratill_Roller_04R38"</t>
  </si>
  <si>
    <t>Bed_Paratill_Roller_06R38"</t>
  </si>
  <si>
    <t>Bed_Ripper_Disk_Cond._06ROW</t>
  </si>
  <si>
    <t>Bed_Ripper_Disk_Cond._08ROW</t>
  </si>
  <si>
    <t>Bed_Ripper_Disk_Folding_08R38"</t>
  </si>
  <si>
    <t>Bed_Ripper_Disk_Folding_12R30"</t>
  </si>
  <si>
    <t>Bed_Ripper_Disk_Folding_12R38"</t>
  </si>
  <si>
    <t>Bed_Ripper_Disk_Rigid_04R30"</t>
  </si>
  <si>
    <t>Bed_Ripper_Disk_Rigid_04R38"</t>
  </si>
  <si>
    <t>Bed_Ripper_Disk_Rigid_06R30"</t>
  </si>
  <si>
    <t>Bed_Ripper_Disk_Rigid_08R30"</t>
  </si>
  <si>
    <t>Bed_Ripper_Disk_Rigid_08R38"</t>
  </si>
  <si>
    <t>Bed_Subsoil_Folding_08R38"</t>
  </si>
  <si>
    <t>Bed_Subsoil_Folding_08R38"_(2x1)</t>
  </si>
  <si>
    <t>Bed_Subsoil_Folding_12R38"</t>
  </si>
  <si>
    <t>Bed_Subsoil_Rigid_04R30"</t>
  </si>
  <si>
    <t>Bed_Subsoil_Rigid_04R38"</t>
  </si>
  <si>
    <t>Bed_Subsoil_Rigid_06R30"</t>
  </si>
  <si>
    <t>Bed_Subsoil_Rigid_06R38"</t>
  </si>
  <si>
    <t>Bed_Subsoil_Rigid_08R30"</t>
  </si>
  <si>
    <t>Bed_Subsoil_Rigid_08R38"</t>
  </si>
  <si>
    <t>Boll Buggy_04R38"_250HP</t>
  </si>
  <si>
    <t>Boll Buggy_04R38"_350HP</t>
  </si>
  <si>
    <t>Boll Buggy_04ROW(2x1)_350HP</t>
  </si>
  <si>
    <t>Boll Buggy_06R30"_355HP</t>
  </si>
  <si>
    <t>Boll Buggy_06R38"_355HP</t>
  </si>
  <si>
    <t>Box Blade_6-7'</t>
  </si>
  <si>
    <t>Chisel Plow_Folding_24'</t>
  </si>
  <si>
    <t>Chisel Plow_Folding_32'</t>
  </si>
  <si>
    <t>Chisel Plow_Folding_42'</t>
  </si>
  <si>
    <t>Chisel Plow_Folding_50'</t>
  </si>
  <si>
    <t>Chisel Plow_Folding_61'</t>
  </si>
  <si>
    <t>Chisel Plow_Rigid_10'</t>
  </si>
  <si>
    <t>Chisel Plow_Rigid_15'</t>
  </si>
  <si>
    <t>Chisel Plow_Rigid_20'</t>
  </si>
  <si>
    <t>Cultivator&amp;Post_04R30"</t>
  </si>
  <si>
    <t>Cultivator&amp;Post_04R38"</t>
  </si>
  <si>
    <t>Cultivator&amp;Post_06R30"</t>
  </si>
  <si>
    <t>Cultivator&amp;Post_06R38"</t>
  </si>
  <si>
    <t>Cultivator&amp;Post_08R30"</t>
  </si>
  <si>
    <t>Cultivator&amp;Post_08R38"</t>
  </si>
  <si>
    <t>Cultivator_04R30"</t>
  </si>
  <si>
    <t>Cultivator_04R38"</t>
  </si>
  <si>
    <t>Cultivator_06R30"</t>
  </si>
  <si>
    <t>Cultivator_06R38"</t>
  </si>
  <si>
    <t>Cultivator_08R30"</t>
  </si>
  <si>
    <t>Cultivator_08R38"</t>
  </si>
  <si>
    <t>Cultivator_08R38"_(2x1)</t>
  </si>
  <si>
    <t>Cultivator_12R30"</t>
  </si>
  <si>
    <t>Cultivator_12R38"</t>
  </si>
  <si>
    <t>Cultivator_16R30"</t>
  </si>
  <si>
    <t>Disk&amp;Incorporate_14'</t>
  </si>
  <si>
    <t>Disk&amp;Incorporate_20'</t>
  </si>
  <si>
    <t>Disk&amp;Incorporate_24'</t>
  </si>
  <si>
    <t>Disk&amp;Incorporate_28'</t>
  </si>
  <si>
    <t>Disk&amp;Incorporate_32'</t>
  </si>
  <si>
    <t>Disk_Harrow_14'</t>
  </si>
  <si>
    <t>Disk_Harrow_20'</t>
  </si>
  <si>
    <t>Disk_Harrow_24'</t>
  </si>
  <si>
    <t>Disk_Harrow_28'</t>
  </si>
  <si>
    <t>Disk_Harrow_32'</t>
  </si>
  <si>
    <t>Disk_Harrow_42'</t>
  </si>
  <si>
    <t>Disk_Heavy_14'</t>
  </si>
  <si>
    <t>Disk_Heavy_20'</t>
  </si>
  <si>
    <t>Disk_Heavy_28'</t>
  </si>
  <si>
    <t>Disk_Ripper_15'</t>
  </si>
  <si>
    <t>Ditcher</t>
  </si>
  <si>
    <t>Ditcher_(1m/160a)</t>
  </si>
  <si>
    <t>Fertilizer_Applicator_(Liquid)_04R38"</t>
  </si>
  <si>
    <t>Fertilizer_Applicator_(Liquid)_06R30"</t>
  </si>
  <si>
    <t>Fertilizer_Applicator_(Liquid)_06R38"</t>
  </si>
  <si>
    <t>Fertilizer_Applicator_(Liquid)_08R30"</t>
  </si>
  <si>
    <t>Fertilizer_Applicator_(Liquid)_08R38"</t>
  </si>
  <si>
    <t>Fertilizer_Applicator_(Liquid)_08R38"_(2x1)</t>
  </si>
  <si>
    <t>Fertilizer_Applicator_(Liquid)_12R30"</t>
  </si>
  <si>
    <t>Fertilizer_Applicator_(Liquid)_12R38"</t>
  </si>
  <si>
    <t>Field_Cultivator&amp;Inc_42'</t>
  </si>
  <si>
    <t>Field_Cultivator&amp;Inc_50'</t>
  </si>
  <si>
    <t>Field_Cultivator&amp;Inc_Folding_24'</t>
  </si>
  <si>
    <t>Field_Cultivator&amp;Inc_Folding_32'</t>
  </si>
  <si>
    <t>Field_Cultivator&amp;Inc_Rigid_12'</t>
  </si>
  <si>
    <t>Field_Cultivator_Folding_24'</t>
  </si>
  <si>
    <t>Field_Cultivator_Folding_32'</t>
  </si>
  <si>
    <t>Field_Cultivator_Folding_42'</t>
  </si>
  <si>
    <t>Field_Cultivator_Folding_50'</t>
  </si>
  <si>
    <t>Field_Cultivator_Rigid_12'</t>
  </si>
  <si>
    <t>Grain_Cart_(Corn)_0500BU</t>
  </si>
  <si>
    <t>Grain_Cart_(Corn)_0700BU</t>
  </si>
  <si>
    <t>Grain_Cart_(Corn)_1000BU</t>
  </si>
  <si>
    <t>Grain_Cart_(Rice)_0500BU</t>
  </si>
  <si>
    <t>Grain_Cart_(Rice)_0700BU</t>
  </si>
  <si>
    <t>Grain_Cart_(Rice)_1000BU</t>
  </si>
  <si>
    <t>Grain_Cart_(Soybean)_0500BU</t>
  </si>
  <si>
    <t>Grain_Cart_(Soybean)_0700BU</t>
  </si>
  <si>
    <t>Grain_Cart_(Soybean)_1000BU</t>
  </si>
  <si>
    <t>Grain_Cart_(Wheat/Sor)_0500BU</t>
  </si>
  <si>
    <t>Grain_Cart_(Wheat/Sor)_0700BU</t>
  </si>
  <si>
    <t>Grain_Cart_(Wheat/Sor)_1000BU</t>
  </si>
  <si>
    <t>Grain_Drill&amp;Pre_08R38"</t>
  </si>
  <si>
    <t>Grain_Drill&amp;Pre_10'</t>
  </si>
  <si>
    <t>Grain_Drill&amp;Pre_12'</t>
  </si>
  <si>
    <t>Grain_Drill&amp;Pre_15'</t>
  </si>
  <si>
    <t>Grain_Drill&amp;Pre_20'</t>
  </si>
  <si>
    <t>Grain_Drill&amp;Pre_24'</t>
  </si>
  <si>
    <t>Grain_Drill&amp;Pre_30'</t>
  </si>
  <si>
    <t>Grain_Drill&amp;Pre_35'</t>
  </si>
  <si>
    <t>Grain_Drill_10'</t>
  </si>
  <si>
    <t>Grain_Drill_12'</t>
  </si>
  <si>
    <t>Grain_Drill_15'</t>
  </si>
  <si>
    <t>Grain_Drill_20'</t>
  </si>
  <si>
    <t>Grain_Drill_24'</t>
  </si>
  <si>
    <t>Grain_Drill_30'</t>
  </si>
  <si>
    <t>Grain_Drill_35'</t>
  </si>
  <si>
    <t>Harrow_Folding_24'</t>
  </si>
  <si>
    <t>Harrow_Folding_30'</t>
  </si>
  <si>
    <t>Harrow_Folding_40'</t>
  </si>
  <si>
    <t>Harrow_Folding_48'</t>
  </si>
  <si>
    <t>Header_Corn_06R30"</t>
  </si>
  <si>
    <t>Header_Corn_06R38"</t>
  </si>
  <si>
    <t>Header_Corn_08R30"</t>
  </si>
  <si>
    <t>Header_Corn_08R38"</t>
  </si>
  <si>
    <t>Header_Corn_12R20"</t>
  </si>
  <si>
    <t>Header_Corn_12R30"</t>
  </si>
  <si>
    <t>Header_Draper_CL_25'</t>
  </si>
  <si>
    <t>Header_Draper_CL_30'</t>
  </si>
  <si>
    <t>Header_Draper_CL_36'</t>
  </si>
  <si>
    <t>Header_Draper_CL_40'</t>
  </si>
  <si>
    <t>Header_Draper_SL_25'</t>
  </si>
  <si>
    <t>Header_Draper_SL_30'</t>
  </si>
  <si>
    <t>Header_Draper_SL_Rigid_36'</t>
  </si>
  <si>
    <t>COMBINE_355Hp</t>
  </si>
  <si>
    <t>Header_Draper_SL_Rigid_40'</t>
  </si>
  <si>
    <t>Header_RiceStrp_CL_20'</t>
  </si>
  <si>
    <t>Header_RiceStrp_CL_24'</t>
  </si>
  <si>
    <t>Header_RiceStrp_CL_32'</t>
  </si>
  <si>
    <t>Header_RiceStrp_SL_20'</t>
  </si>
  <si>
    <t>Header_RiceStrp_SL_24'</t>
  </si>
  <si>
    <t>Header_RiceStrp_SL_32'</t>
  </si>
  <si>
    <t>Header_Soybean_Flex_22'</t>
  </si>
  <si>
    <t>Header_Soybean_Flex_25'</t>
  </si>
  <si>
    <t>Header_Soybean_Flex_30'</t>
  </si>
  <si>
    <t>Header_Soybean_Flex_35'</t>
  </si>
  <si>
    <t>Header_WheatSorghum_Rigid_22'</t>
  </si>
  <si>
    <t>Header_WheatSorghum_Rigid_25'</t>
  </si>
  <si>
    <t>Header_WheatSorghum_Rigid_30'</t>
  </si>
  <si>
    <t>Land_Plane_50'x16'</t>
  </si>
  <si>
    <t>Levee_Pull&amp;Seed_08BLADE</t>
  </si>
  <si>
    <t>Levee_Pull_(1m/80acres)_08BLADE</t>
  </si>
  <si>
    <t>Levee_Splitter_(1m/80acres)_32"</t>
  </si>
  <si>
    <t>Module_Builder_04R38"_250HP</t>
  </si>
  <si>
    <t>Module_Builder_04R38"_350HP</t>
  </si>
  <si>
    <t>Module_Builder_04ROW(2x1)_350HP</t>
  </si>
  <si>
    <t>Module_Builder_06R30"_355HP</t>
  </si>
  <si>
    <t>Module_Builder_06R38"_355HP</t>
  </si>
  <si>
    <t>NT_Grain_Drill&amp;Pre_10'</t>
  </si>
  <si>
    <t>NT_Grain_Drill&amp;Pre_12'</t>
  </si>
  <si>
    <t>NT_Grain_Drill&amp;Pre_15'</t>
  </si>
  <si>
    <t>NT_Grain_Drill&amp;Pre_20'</t>
  </si>
  <si>
    <t>NT_Grain_Drill&amp;Pre_24'</t>
  </si>
  <si>
    <t>NT_Grain_Drill&amp;Pre_30'</t>
  </si>
  <si>
    <t>NT_Grain_Drill_10'</t>
  </si>
  <si>
    <t>NT_Grain_Drill_12'</t>
  </si>
  <si>
    <t>NT_Grain_Drill_15'</t>
  </si>
  <si>
    <t>NT_Grain_Drill_20'</t>
  </si>
  <si>
    <t>NT_Grain_Drill_24'</t>
  </si>
  <si>
    <t>NT_Grain_Drill_30'</t>
  </si>
  <si>
    <t>NT_Plant&amp;Pre_Folding_08R38"</t>
  </si>
  <si>
    <t>NT_Plant&amp;Pre_Folding_08R38"_(2x1)</t>
  </si>
  <si>
    <t>NT_Plant&amp;Pre_Folding_12R20"</t>
  </si>
  <si>
    <t>NT_Plant&amp;Pre_Folding_12R30"</t>
  </si>
  <si>
    <t>NT_Plant&amp;Pre_Folding_12R38"</t>
  </si>
  <si>
    <t>NT_Plant&amp;Pre_Folding_16R30"</t>
  </si>
  <si>
    <t>NT_Plant&amp;Pre_Folding_23R15"</t>
  </si>
  <si>
    <t>NT_Plant&amp;Pre_Folding_24R20"</t>
  </si>
  <si>
    <t>NT_Plant&amp;Pre_Folding_24R30"</t>
  </si>
  <si>
    <t>NT_Plant&amp;Pre_Folding_31R15"</t>
  </si>
  <si>
    <t>NT_Plant&amp;Pre_Folding_32R15"</t>
  </si>
  <si>
    <t>NT_Plant&amp;Pre_Rigid_04R30"</t>
  </si>
  <si>
    <t>NT_Plant&amp;Pre_Rigid_04R38"</t>
  </si>
  <si>
    <t>NT_Plant&amp;Pre_Rigid_06R30"</t>
  </si>
  <si>
    <t>NT_Plant&amp;Pre_Rigid_06R38"</t>
  </si>
  <si>
    <t>NT_Plant&amp;Pre_Rigid_08R30"</t>
  </si>
  <si>
    <t>NT_Plant&amp;Pre_Rigid_08R38"</t>
  </si>
  <si>
    <t>NT_Plant&amp;Pre_Rigid_11R15"</t>
  </si>
  <si>
    <t>NT_Plant&amp;Pre_Rigid_11R20"</t>
  </si>
  <si>
    <t>NT_Plant&amp;Pre_Rigid_12R20"</t>
  </si>
  <si>
    <t>NT_Plant&amp;Pre_Rigid_12R30"</t>
  </si>
  <si>
    <t>NT_Plant&amp;Pre_Rigid_15R15"</t>
  </si>
  <si>
    <t>NT_Plant&amp;Pre_TwinRow_08R30-40"</t>
  </si>
  <si>
    <t>NT_Plant&amp;Pre_TwinRow_12R30-40"</t>
  </si>
  <si>
    <t>NT_Plant_Folding_08R38"</t>
  </si>
  <si>
    <t>NT_Plant_Folding_08R38"_(2x1)</t>
  </si>
  <si>
    <t>NT_Plant_Folding_12R20"</t>
  </si>
  <si>
    <t>NT_Plant_Folding_12R30"</t>
  </si>
  <si>
    <t>NT_Plant_Folding_12R38"</t>
  </si>
  <si>
    <t>NT_Plant_Folding_16R30"</t>
  </si>
  <si>
    <t>NT_Plant_Folding_23R15"</t>
  </si>
  <si>
    <t>NT_Plant_Folding_24R20"</t>
  </si>
  <si>
    <t>NT_Plant_Folding_24R30"</t>
  </si>
  <si>
    <t>NT_Plant_Folding_31R15"</t>
  </si>
  <si>
    <t>NT_Plant_Folding_32R15"</t>
  </si>
  <si>
    <t>NT_Plant_Rigid_04R30"</t>
  </si>
  <si>
    <t>NT_Plant_Rigid_04R38"</t>
  </si>
  <si>
    <t>NT_Plant_Rigid_06R30"</t>
  </si>
  <si>
    <t>NT_Plant_Rigid_06R38"</t>
  </si>
  <si>
    <t>NT_Plant_Rigid_08R30"</t>
  </si>
  <si>
    <t>NT_Plant_Rigid_08R38"</t>
  </si>
  <si>
    <t>NT_Plant_Rigid_11R15"</t>
  </si>
  <si>
    <t>NT_Plant_Rigid_11R20"</t>
  </si>
  <si>
    <t>NT_Plant_Rigid_12R20"</t>
  </si>
  <si>
    <t>NT_Plant_Rigid_12R30"</t>
  </si>
  <si>
    <t>NT_Plant_Rigid_15R15"</t>
  </si>
  <si>
    <t>NT_Plant_TwinRow_08R30-40"</t>
  </si>
  <si>
    <t>NT_Plant_TwinRow_12R30-40"</t>
  </si>
  <si>
    <t>Peanut_Cond&amp;Lifter_06ROW</t>
  </si>
  <si>
    <t>Peanut_Conditioner_06ROW</t>
  </si>
  <si>
    <t>Peanut_Digger_Invertor_04R30"</t>
  </si>
  <si>
    <t>Peanut_Digger_Invertor_04R38"</t>
  </si>
  <si>
    <t>Peanut_Digger_Invertor_06R38"</t>
  </si>
  <si>
    <t>Peanut_Dump_Cart_06ROW</t>
  </si>
  <si>
    <t>Peanut_Harvester_04R30"</t>
  </si>
  <si>
    <t>Peanut_Harvester_04R38"</t>
  </si>
  <si>
    <t>Peanut_Harvester_06R38"</t>
  </si>
  <si>
    <t>Peanut_Lifter_06ROW</t>
  </si>
  <si>
    <t>Peanut_Planter&amp;Pre_Folding_12R38"</t>
  </si>
  <si>
    <t>Peanut_Planter&amp;Pre_Rigid_08R30"</t>
  </si>
  <si>
    <t>Peanut_Planter&amp;Pre_Rigid_08R38"</t>
  </si>
  <si>
    <t>Peanut_Planter&amp;Pre_Twin_08R30-40"</t>
  </si>
  <si>
    <t>Pipe_Spool_(160acres)_1/4_ROLL</t>
  </si>
  <si>
    <t>Pipe_Trailer_(1m/160acres)_30'</t>
  </si>
  <si>
    <t>Planter&amp;Pre_Folding_08R38"</t>
  </si>
  <si>
    <t>Planter&amp;Pre_Folding_08R38"_(2x1)</t>
  </si>
  <si>
    <t>Planter&amp;Pre_Folding_12R20"</t>
  </si>
  <si>
    <t>Planter&amp;Pre_Folding_12R30"</t>
  </si>
  <si>
    <t>Planter&amp;Pre_Folding_12R38"</t>
  </si>
  <si>
    <t>Planter&amp;Pre_Folding_16R30"</t>
  </si>
  <si>
    <t>Planter&amp;Pre_Folding_23R15"</t>
  </si>
  <si>
    <t>Planter&amp;Pre_Folding_24R20"</t>
  </si>
  <si>
    <t>Planter&amp;Pre_Folding_24R30"</t>
  </si>
  <si>
    <t>Planter&amp;Pre_Folding_31R15"</t>
  </si>
  <si>
    <t>Planter&amp;Pre_Folding_32R15"</t>
  </si>
  <si>
    <t>Planter&amp;Pre_Rigid_04R30"</t>
  </si>
  <si>
    <t>Planter&amp;Pre_Rigid_04R38"</t>
  </si>
  <si>
    <t>Planter&amp;Pre_Rigid_06R30"</t>
  </si>
  <si>
    <t>Planter&amp;Pre_Rigid_06R38"</t>
  </si>
  <si>
    <t>Planter&amp;Pre_Rigid_08R30"</t>
  </si>
  <si>
    <t>Planter&amp;Pre_Rigid_08R38"</t>
  </si>
  <si>
    <t>Planter&amp;Pre_Rigid_11R15"</t>
  </si>
  <si>
    <t>Planter&amp;Pre_Rigid_11R20"</t>
  </si>
  <si>
    <t>Planter&amp;Pre_Rigid_12R20"</t>
  </si>
  <si>
    <t>Planter&amp;Pre_Rigid_12R30"</t>
  </si>
  <si>
    <t>Planter&amp;Pre_Rigid_15R15"</t>
  </si>
  <si>
    <t>Planter&amp;Pre_TwinRow_08R30-40"</t>
  </si>
  <si>
    <t>Planter&amp;Pre_TwinRow_12R30-40"</t>
  </si>
  <si>
    <t>Planter_Folding_08R38"</t>
  </si>
  <si>
    <t>Planter_Folding_08R38"_(2x1)</t>
  </si>
  <si>
    <t>Planter_Folding_12R20"</t>
  </si>
  <si>
    <t>Planter_Folding_12R30"</t>
  </si>
  <si>
    <t>Planter_Folding_12R38"</t>
  </si>
  <si>
    <t>Planter_Folding_16R30"</t>
  </si>
  <si>
    <t>Planter_Folding_23R15"</t>
  </si>
  <si>
    <t>Planter_Folding_24R20"</t>
  </si>
  <si>
    <t>Planter_Folding_24R30"</t>
  </si>
  <si>
    <t>Planter_Folding_31R15"</t>
  </si>
  <si>
    <t>Planter_Folding_32R15"</t>
  </si>
  <si>
    <t>Planter_Rigid_04R30"</t>
  </si>
  <si>
    <t>Planter_Rigid_04R38"</t>
  </si>
  <si>
    <t>Planter_Rigid_06R30"</t>
  </si>
  <si>
    <t>Planter_Rigid_06R38"</t>
  </si>
  <si>
    <t>Planter_Rigid_08R30"</t>
  </si>
  <si>
    <t>Planter_Rigid_08R38"</t>
  </si>
  <si>
    <t>Planter_Rigid_11R15"</t>
  </si>
  <si>
    <t>Planter_Rigid_11R20"</t>
  </si>
  <si>
    <t>Planter_Rigid_12R20"</t>
  </si>
  <si>
    <t>Planter_Rigid_12R30"</t>
  </si>
  <si>
    <t>Planter_Rigid_15R15"</t>
  </si>
  <si>
    <t>Planter_TwinRow_08R30-40"</t>
  </si>
  <si>
    <t>Planter_TwinRow_12R30-40"</t>
  </si>
  <si>
    <t>Roller_Cultipacker_12'</t>
  </si>
  <si>
    <t>Roller_Cultipacker_20'</t>
  </si>
  <si>
    <t>Roller_Cultipacker_30'</t>
  </si>
  <si>
    <t>Roller_Cultipacker_38'</t>
  </si>
  <si>
    <t>Roller_Stubble_20'</t>
  </si>
  <si>
    <t>Roller_Stubble_32'</t>
  </si>
  <si>
    <t>Rotary_Cutter_12'</t>
  </si>
  <si>
    <t>Rotary_Cutter_Flex_15'</t>
  </si>
  <si>
    <t>Rotary_Cutter_Flex_20'</t>
  </si>
  <si>
    <t>Row_Cond&amp;Inc_Folding_26'</t>
  </si>
  <si>
    <t>Row_Cond&amp;Inc_Folding_38'</t>
  </si>
  <si>
    <t>Row_Cond&amp;Inc_Rigid_13'</t>
  </si>
  <si>
    <t>Row_Cond&amp;Inc_Rigid_21'</t>
  </si>
  <si>
    <t>Row_Cond&amp;Inc_Rigid_26'</t>
  </si>
  <si>
    <t>Row_Cond_Folding_26'</t>
  </si>
  <si>
    <t>Row_Cond_Folding_38'</t>
  </si>
  <si>
    <t>Row_Cond_Rigid_13'</t>
  </si>
  <si>
    <t>Row_Cond_Rigid_21'</t>
  </si>
  <si>
    <t>Row_Cond_Rigid_26'</t>
  </si>
  <si>
    <t>Row_Cond_Roller_Folding_26'</t>
  </si>
  <si>
    <t>Row_Cond_Roller_Folding_30'</t>
  </si>
  <si>
    <t>Row_Cond_Roller_Folding_40'</t>
  </si>
  <si>
    <t>Row_Cond_Roller_Rigid_21'</t>
  </si>
  <si>
    <t>Row_Cond_Roller_Rigid_26'</t>
  </si>
  <si>
    <t>Spin_Spreader_5TON</t>
  </si>
  <si>
    <t>Sprayer_ATV_(Ropewick)_75"</t>
  </si>
  <si>
    <t>Sprayer_ATV_20'</t>
  </si>
  <si>
    <t>Sprayer_Banded_Folding_27'</t>
  </si>
  <si>
    <t>Sprayer_Banded_Folding_40'</t>
  </si>
  <si>
    <t>Sprayer_Banded_Folding_50'</t>
  </si>
  <si>
    <t>Sprayer_Banded_Folding_60'</t>
  </si>
  <si>
    <t>Sprayer_Broadcast/HB_Folding_27'</t>
  </si>
  <si>
    <t>Sprayer_Broadcast/HB_Folding_30'</t>
  </si>
  <si>
    <t>Sprayer_Broadcast/HB_Folding_40'</t>
  </si>
  <si>
    <t>Sprayer_Broadcast/HB_Rigid_13'</t>
  </si>
  <si>
    <t>Sprayer_Broadcast/HB_Rigid_20'</t>
  </si>
  <si>
    <t>Sprayer_Broadcast/HB_Rigid_27'</t>
  </si>
  <si>
    <t>Sprayer_Broadcast_27'</t>
  </si>
  <si>
    <t>Sprayer_Broadcast_40'</t>
  </si>
  <si>
    <t>Sprayer_Broadcast_50'</t>
  </si>
  <si>
    <t>Sprayer_Broadcast_60'</t>
  </si>
  <si>
    <t>Sprayer_Direct/Hood_08R30"</t>
  </si>
  <si>
    <t>Sprayer_Direct/Hood_08R38"</t>
  </si>
  <si>
    <t>Sprayer_Direct/Hood_12R30"</t>
  </si>
  <si>
    <t>Sprayer_Direct/Hood_12R38"</t>
  </si>
  <si>
    <t>Sprayer_Direct/Layby_08R30"</t>
  </si>
  <si>
    <t>Sprayer_Direct/Layby_08R38"</t>
  </si>
  <si>
    <t>Sprayer_Direct/Layby_08R38"_(2x1)</t>
  </si>
  <si>
    <t>Sprayer_Direct/Layby_12R30"</t>
  </si>
  <si>
    <t>Sprayer_Direct/Layby_12R38"</t>
  </si>
  <si>
    <t>Sprayer_Direct/Layby_16R20-30"</t>
  </si>
  <si>
    <t>Sprayer_Levee_Leaper_50'</t>
  </si>
  <si>
    <t>Sprayer_Pull_Type_120'</t>
  </si>
  <si>
    <t>Sprayer_Spot_27'</t>
  </si>
  <si>
    <t>Sprayer_Spot_40'</t>
  </si>
  <si>
    <t>Sprayer_Spot_50'</t>
  </si>
  <si>
    <t>Sprayer_Spot_60'</t>
  </si>
  <si>
    <t>Stalk_Shredder_14'</t>
  </si>
  <si>
    <t>Stalk_Shredder_Flail_12'</t>
  </si>
  <si>
    <t>Stalk_Shredder_Flail_15'</t>
  </si>
  <si>
    <t>Stalk_Shredder_Flail_18'</t>
  </si>
  <si>
    <t>Stalk_Shredder_Flail_20'</t>
  </si>
  <si>
    <t>Stalk_Shredder_Flail_25'</t>
  </si>
  <si>
    <t>Stalk_Shredder_Flex_20'</t>
  </si>
  <si>
    <t>Strip_Till_08R38"</t>
  </si>
  <si>
    <t>Strip_Till_12R30"</t>
  </si>
  <si>
    <t>Strip_Till_12R40"</t>
  </si>
  <si>
    <t>Subsoiler_03SHANK</t>
  </si>
  <si>
    <t>Subsoiler_04SHANK</t>
  </si>
  <si>
    <t>Subsoiler_05SHANK</t>
  </si>
  <si>
    <t>Subsoiler_LowTill_06SHANK</t>
  </si>
  <si>
    <t>Subsoiler_LowTill_08SHANK</t>
  </si>
  <si>
    <t>TRACTOR RECOMMENDATION FOR A TOWED IMPLEMENT</t>
  </si>
  <si>
    <t>FIELD CAPACITY (ACRES/HOUR)</t>
  </si>
  <si>
    <t xml:space="preserve">RECOMMENDED POWER UNIT </t>
  </si>
  <si>
    <t>Rotary_Cutter_07'</t>
  </si>
  <si>
    <t>Sprayer_Pull_Type_060'</t>
  </si>
  <si>
    <t>Sprayer_Pull_Type_080'</t>
  </si>
  <si>
    <t>Sprayer_Pull_Type_090'</t>
  </si>
  <si>
    <t>MSRP ($US)</t>
  </si>
  <si>
    <t>TOTAL COST ($US/ACRE)</t>
  </si>
  <si>
    <t>WIDTH (FEET)</t>
  </si>
  <si>
    <t>HORSEPOWER</t>
  </si>
  <si>
    <t>FUEL USE (GALLONS/ACRE)</t>
  </si>
  <si>
    <t>USEFUL LIFE (YEARS)</t>
  </si>
  <si>
    <t>&amp; TOTAL COSTS FOR IMPLEMENTS USED</t>
  </si>
  <si>
    <t xml:space="preserve">Trent A. Morton
Agricultural Economist
ARS | National Soil Dynamics Laboratory
Agricultural Research Service
411 S Donahue Drive, Auburn, AL 36832
p: (334) 844-4741 ext. 2743 | c: (334) 332-2530
email: trent.morton@usda.gov
</t>
  </si>
  <si>
    <t>FIELD
CAPACITY
(ACRES/HR)</t>
  </si>
  <si>
    <t>Bed_Ripper_Disk_Rigid_06R38"</t>
  </si>
  <si>
    <t>Cultivator&amp;Post_08R38"_(2x1)</t>
  </si>
  <si>
    <t>Cultivator&amp;Post_12R30"</t>
  </si>
  <si>
    <t>Cultivator&amp;Post_12R38"</t>
  </si>
  <si>
    <t>Cultivator&amp;Post_16R30"</t>
  </si>
  <si>
    <t>Module_Handler</t>
  </si>
  <si>
    <t>TRACTOR_2WD_170HP_CB</t>
  </si>
  <si>
    <t>Sprayer_Ropewick_20'</t>
  </si>
  <si>
    <t>**All recommendations and prices are based on data from the Mississippi State University 2026 Crop Planning Budgets</t>
  </si>
  <si>
    <t>UPDATED: 12/16/2025</t>
  </si>
  <si>
    <r>
      <rPr>
        <b/>
        <i/>
        <sz val="18"/>
        <color theme="1"/>
        <rFont val="Aptos Narrow"/>
        <family val="2"/>
        <scheme val="minor"/>
      </rPr>
      <t>Tractor Recommendation Worksheet</t>
    </r>
    <r>
      <rPr>
        <b/>
        <i/>
        <sz val="14"/>
        <color theme="1"/>
        <rFont val="Aptos Narrow"/>
        <family val="2"/>
        <scheme val="minor"/>
      </rPr>
      <t xml:space="preserve">
The Tractor Recommendation Worksheet is an analytical tool developed to assist agricultural producers in evaluating the power requirements associated with a wide range of towed implements used in farming operations. Because the horsepower needed to operate an implement varies according to implement size and functional purpose, it is essential for producers to understand the minimum tractor specifications required to ensure proper field performance. This tool enables users to assess whether their current tractor inventory is adequate for newly adopted or existing implements and to consider potential adjustments in equipment holdings when operational changes occur.
In addition to identifying appropriate power units, the worksheet provides an estimate of the total operational cost of each implement–tractor combination, expressed on a per‑acre basis. These cost estimates support financial planning and help producers evaluate the economic implications and potential profitability of modifying their production systems or investing in new equipment.
All implement recommendations and cost data incorporated into this tool are derived from the published Mississippi State University 2026 Crop Planning Budgets. The information is offered exclusively for educational purposes. Users are advised that all outputs are provided “as‑is,” without warranty of accuracy, completeness, or fitness for a particular purpose. The USDA Agricultural Research Service does not guarantee the functionality of the tool and assumes no responsibility for decisions made based on its results. Users bear all risks associated with the use or reliance upon any output generated by this worksheet.</t>
    </r>
  </si>
  <si>
    <r>
      <t>IMPLEMENT (</t>
    </r>
    <r>
      <rPr>
        <b/>
        <i/>
        <sz val="18"/>
        <rFont val="Aptos Narrow"/>
        <family val="2"/>
        <scheme val="minor"/>
      </rPr>
      <t>Select one from list</t>
    </r>
    <r>
      <rPr>
        <b/>
        <sz val="18"/>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</si>
</sst>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quot;$&quot;#,##0"/>
    <numFmt numFmtId="167" formatCode="0.000"/>
  </numFmts>
  <fonts count="22" x14ac:knownFonts="1">
    <font>
      <sz val="11"/>
      <color theme="1"/>
      <name val="Aptos Narrow"/>
      <family val="2"/>
      <scheme val="minor"/>
    </font>
    <font>
      <b/>
      <sz val="12"/>
      <color theme="1"/>
      <name val="Aptos Narrow"/>
      <family val="2"/>
      <scheme val="minor"/>
    </font>
    <font>
      <sz val="10"/>
      <color theme="1"/>
      <name val="Aptos Narrow"/>
      <family val="2"/>
      <scheme val="minor"/>
    </font>
    <font>
      <i/>
      <sz val="10"/>
      <color theme="1"/>
      <name val="Aptos Narrow"/>
      <family val="2"/>
      <scheme val="minor"/>
    </font>
    <font>
      <b/>
      <sz val="10"/>
      <color theme="1"/>
      <name val="Aptos Narrow"/>
      <family val="2"/>
      <scheme val="minor"/>
    </font>
    <font>
      <b/>
      <sz val="24"/>
      <color theme="1"/>
      <name val="Aptos Narrow"/>
      <family val="2"/>
      <scheme val="minor"/>
    </font>
    <font>
      <b/>
      <i/>
      <sz val="12"/>
      <color theme="1"/>
      <name val="Aptos Narrow"/>
      <family val="2"/>
      <scheme val="minor"/>
    </font>
    <font>
      <b/>
      <sz val="14"/>
      <color rgb="FF0070C0"/>
      <name val="Aptos Narrow"/>
      <family val="2"/>
      <scheme val="minor"/>
    </font>
    <font>
      <b/>
      <i/>
      <sz val="14"/>
      <color rgb="FF0070C0"/>
      <name val="Aptos Narrow"/>
      <family val="2"/>
      <scheme val="minor"/>
    </font>
    <font>
      <b/>
      <i/>
      <sz val="11"/>
      <color theme="1"/>
      <name val="Aptos Narrow"/>
      <family val="2"/>
      <scheme val="minor"/>
    </font>
    <font>
      <b/>
      <i/>
      <sz val="14"/>
      <name val="Aptos Narrow"/>
      <family val="2"/>
      <scheme val="minor"/>
    </font>
    <font>
      <b/>
      <sz val="18"/>
      <name val="Aptos Narrow"/>
      <family val="2"/>
      <scheme val="minor"/>
    </font>
    <font>
      <b/>
      <sz val="18"/>
      <color rgb="FF0070C0"/>
      <name val="Aptos Narrow"/>
      <family val="2"/>
      <scheme val="minor"/>
    </font>
    <font>
      <sz val="18"/>
      <color theme="1"/>
      <name val="Aptos Narrow"/>
      <family val="2"/>
      <scheme val="minor"/>
    </font>
    <font>
      <b/>
      <i/>
      <sz val="12"/>
      <name val="Aptos Narrow"/>
      <family val="2"/>
      <scheme val="minor"/>
    </font>
    <font>
      <b/>
      <sz val="16"/>
      <color theme="1"/>
      <name val="Aptos Narrow"/>
      <family val="2"/>
      <scheme val="minor"/>
    </font>
    <font>
      <b/>
      <i/>
      <sz val="18"/>
      <name val="Aptos Narrow"/>
      <family val="2"/>
      <scheme val="minor"/>
    </font>
    <font>
      <b/>
      <i/>
      <sz val="16"/>
      <color theme="1"/>
      <name val="Aptos Narrow"/>
      <family val="2"/>
      <scheme val="minor"/>
    </font>
    <font>
      <b/>
      <i/>
      <sz val="11"/>
      <color rgb="FF002060"/>
      <name val="Aptos Narrow"/>
      <family val="2"/>
      <scheme val="minor"/>
    </font>
    <font>
      <b/>
      <sz val="11"/>
      <color rgb="FF002060"/>
      <name val="Aptos Narrow"/>
      <family val="2"/>
      <scheme val="minor"/>
    </font>
    <font>
      <b/>
      <i/>
      <sz val="14"/>
      <color theme="1"/>
      <name val="Aptos Narrow"/>
      <family val="2"/>
      <scheme val="minor"/>
    </font>
    <font>
      <b/>
      <i/>
      <sz val="18"/>
      <color theme="1"/>
      <name val="Aptos Narrow"/>
      <family val="2"/>
      <scheme val="minor"/>
    </font>
  </fonts>
  <fills count="11">
    <fill>
      <patternFill patternType="none"/>
    </fill>
    <fill>
      <patternFill patternType="gray125"/>
    </fill>
    <fill>
      <patternFill patternType="solid">
        <fgColor rgb="FFFFC000"/>
        <bgColor indexed="64"/>
      </patternFill>
    </fill>
    <fill>
      <patternFill patternType="solid">
        <fgColor rgb="FFD5C2E4"/>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7030A0"/>
      </left>
      <right style="medium">
        <color rgb="FF7030A0"/>
      </right>
      <top style="medium">
        <color rgb="FF7030A0"/>
      </top>
      <bottom style="medium">
        <color rgb="FF7030A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70C0"/>
      </left>
      <right style="medium">
        <color rgb="FF0070C0"/>
      </right>
      <top style="medium">
        <color rgb="FF0070C0"/>
      </top>
      <bottom style="medium">
        <color rgb="FF0070C0"/>
      </bottom>
      <diagonal/>
    </border>
  </borders>
  <cellStyleXfs count="1">
    <xf numFmtId="0" fontId="0" fillId="0" borderId="0"/>
  </cellStyleXfs>
  <cellXfs count="125">
    <xf numFmtId="0" fontId="0" fillId="0" borderId="0" xfId="0"/>
    <xf numFmtId="0" fontId="0" fillId="0" borderId="0" xfId="0" applyAlignment="1">
      <alignment horizontal="center"/>
    </xf>
    <xf numFmtId="0" fontId="0" fillId="0" borderId="0" xfId="0" applyAlignment="1">
      <alignment horizontal="left"/>
    </xf>
    <xf numFmtId="1" fontId="3" fillId="0" borderId="0" xfId="0" applyNumberFormat="1" applyFont="1" applyAlignment="1">
      <alignment horizontal="center"/>
    </xf>
    <xf numFmtId="0" fontId="2" fillId="0" borderId="0" xfId="0" applyFont="1" applyAlignment="1">
      <alignment horizontal="left"/>
    </xf>
    <xf numFmtId="0" fontId="2" fillId="0" borderId="1" xfId="0" applyFont="1" applyBorder="1" applyAlignment="1">
      <alignment horizontal="left"/>
    </xf>
    <xf numFmtId="0" fontId="2" fillId="0" borderId="1" xfId="0" applyFont="1" applyBorder="1" applyAlignment="1">
      <alignment horizontal="left" wrapText="1"/>
    </xf>
    <xf numFmtId="49" fontId="2" fillId="0" borderId="1" xfId="0" applyNumberFormat="1" applyFont="1" applyBorder="1" applyAlignment="1">
      <alignment horizontal="left"/>
    </xf>
    <xf numFmtId="164" fontId="2" fillId="0" borderId="0" xfId="0" applyNumberFormat="1" applyFont="1" applyAlignment="1">
      <alignment horizontal="left"/>
    </xf>
    <xf numFmtId="0" fontId="2" fillId="0" borderId="1" xfId="0" quotePrefix="1" applyFont="1" applyBorder="1" applyAlignment="1">
      <alignment horizontal="left" wrapText="1"/>
    </xf>
    <xf numFmtId="2" fontId="2" fillId="0" borderId="0" xfId="0" applyNumberFormat="1" applyFont="1" applyAlignment="1">
      <alignment horizontal="left"/>
    </xf>
    <xf numFmtId="166" fontId="2" fillId="0" borderId="0" xfId="0" applyNumberFormat="1" applyFont="1" applyAlignment="1">
      <alignment horizontal="left"/>
    </xf>
    <xf numFmtId="167" fontId="2" fillId="0" borderId="0" xfId="0" applyNumberFormat="1" applyFont="1" applyAlignment="1">
      <alignment horizontal="left"/>
    </xf>
    <xf numFmtId="0" fontId="10" fillId="3" borderId="8" xfId="0" applyFont="1" applyFill="1" applyBorder="1" applyAlignment="1">
      <alignment horizontal="center" vertical="center"/>
    </xf>
    <xf numFmtId="3" fontId="14" fillId="3" borderId="8" xfId="0" applyNumberFormat="1" applyFont="1" applyFill="1" applyBorder="1" applyAlignment="1">
      <alignment horizontal="center" vertical="center"/>
    </xf>
    <xf numFmtId="164" fontId="14" fillId="3" borderId="8" xfId="0" applyNumberFormat="1" applyFont="1" applyFill="1" applyBorder="1" applyAlignment="1">
      <alignment horizontal="center" vertical="center"/>
    </xf>
    <xf numFmtId="4" fontId="14" fillId="3" borderId="8" xfId="0" applyNumberFormat="1" applyFont="1" applyFill="1" applyBorder="1" applyAlignment="1">
      <alignment horizontal="center" vertical="center"/>
    </xf>
    <xf numFmtId="0" fontId="0" fillId="4" borderId="9" xfId="0" applyFill="1" applyBorder="1"/>
    <xf numFmtId="0" fontId="0" fillId="4" borderId="10"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center"/>
    </xf>
    <xf numFmtId="0" fontId="0" fillId="4" borderId="11" xfId="0" applyFill="1" applyBorder="1" applyAlignment="1">
      <alignment horizontal="center"/>
    </xf>
    <xf numFmtId="0" fontId="0" fillId="4" borderId="12" xfId="0" applyFill="1" applyBorder="1"/>
    <xf numFmtId="0" fontId="12" fillId="4" borderId="13" xfId="0" applyFont="1" applyFill="1" applyBorder="1" applyAlignment="1">
      <alignment horizontal="left"/>
    </xf>
    <xf numFmtId="0" fontId="13" fillId="4" borderId="12" xfId="0" applyFont="1" applyFill="1" applyBorder="1"/>
    <xf numFmtId="0" fontId="7" fillId="4" borderId="13" xfId="0" applyFont="1" applyFill="1" applyBorder="1" applyAlignment="1">
      <alignment horizontal="center"/>
    </xf>
    <xf numFmtId="0" fontId="0" fillId="4" borderId="14" xfId="0" applyFill="1" applyBorder="1"/>
    <xf numFmtId="0" fontId="0" fillId="4" borderId="13" xfId="0" applyFill="1" applyBorder="1" applyAlignment="1">
      <alignment horizontal="left"/>
    </xf>
    <xf numFmtId="0" fontId="0" fillId="4" borderId="15" xfId="0" applyFill="1" applyBorder="1" applyAlignment="1">
      <alignment horizontal="left"/>
    </xf>
    <xf numFmtId="0" fontId="0" fillId="4" borderId="16" xfId="0" applyFill="1" applyBorder="1" applyAlignment="1">
      <alignment horizontal="left"/>
    </xf>
    <xf numFmtId="0" fontId="0" fillId="4" borderId="15" xfId="0" applyFill="1" applyBorder="1" applyAlignment="1">
      <alignment horizontal="center"/>
    </xf>
    <xf numFmtId="0" fontId="0" fillId="4" borderId="10" xfId="0" applyFill="1" applyBorder="1"/>
    <xf numFmtId="0" fontId="0" fillId="4" borderId="15" xfId="0" applyFill="1" applyBorder="1"/>
    <xf numFmtId="0" fontId="8" fillId="4" borderId="13" xfId="0" applyFont="1" applyFill="1" applyBorder="1" applyAlignment="1">
      <alignment horizontal="center" vertical="center"/>
    </xf>
    <xf numFmtId="0" fontId="6" fillId="4" borderId="13" xfId="0" applyFont="1" applyFill="1" applyBorder="1" applyAlignment="1">
      <alignment horizontal="center"/>
    </xf>
    <xf numFmtId="0" fontId="1" fillId="4" borderId="13" xfId="0" applyFont="1" applyFill="1" applyBorder="1" applyAlignment="1">
      <alignment horizontal="center"/>
    </xf>
    <xf numFmtId="164" fontId="6" fillId="4" borderId="13" xfId="0" applyNumberFormat="1" applyFont="1" applyFill="1" applyBorder="1" applyAlignment="1">
      <alignment horizontal="center" vertical="center"/>
    </xf>
    <xf numFmtId="0" fontId="0" fillId="4" borderId="13" xfId="0" applyFill="1" applyBorder="1" applyAlignment="1">
      <alignment horizontal="center"/>
    </xf>
    <xf numFmtId="0" fontId="0" fillId="4" borderId="16" xfId="0" applyFill="1" applyBorder="1" applyAlignment="1">
      <alignment horizontal="center"/>
    </xf>
    <xf numFmtId="0" fontId="8" fillId="4" borderId="13" xfId="0" applyFont="1" applyFill="1" applyBorder="1" applyAlignment="1">
      <alignment horizontal="left" vertical="center"/>
    </xf>
    <xf numFmtId="0" fontId="6" fillId="4" borderId="13" xfId="0" applyFont="1" applyFill="1" applyBorder="1" applyAlignment="1">
      <alignment horizontal="left"/>
    </xf>
    <xf numFmtId="0" fontId="1" fillId="4" borderId="13" xfId="0" applyFont="1" applyFill="1" applyBorder="1" applyAlignment="1">
      <alignment horizontal="left"/>
    </xf>
    <xf numFmtId="164" fontId="6" fillId="4" borderId="13" xfId="0" applyNumberFormat="1" applyFont="1" applyFill="1" applyBorder="1" applyAlignment="1">
      <alignment horizontal="left" vertical="center"/>
    </xf>
    <xf numFmtId="2" fontId="6" fillId="4" borderId="13" xfId="0" applyNumberFormat="1" applyFont="1" applyFill="1" applyBorder="1" applyAlignment="1">
      <alignment horizontal="left" vertical="center"/>
    </xf>
    <xf numFmtId="0" fontId="5" fillId="4" borderId="12" xfId="0" applyFont="1" applyFill="1" applyBorder="1" applyAlignment="1">
      <alignment horizontal="center"/>
    </xf>
    <xf numFmtId="0" fontId="5" fillId="4" borderId="0" xfId="0" applyFont="1" applyFill="1" applyAlignment="1">
      <alignment horizontal="center"/>
    </xf>
    <xf numFmtId="0" fontId="5" fillId="4" borderId="13" xfId="0" applyFont="1" applyFill="1" applyBorder="1" applyAlignment="1">
      <alignment horizontal="center"/>
    </xf>
    <xf numFmtId="0" fontId="0" fillId="4" borderId="13" xfId="0" applyFill="1" applyBorder="1"/>
    <xf numFmtId="0" fontId="11" fillId="4" borderId="0" xfId="0" applyFont="1" applyFill="1" applyAlignment="1">
      <alignment horizontal="left"/>
    </xf>
    <xf numFmtId="0" fontId="11" fillId="4" borderId="0" xfId="0" applyFont="1" applyFill="1" applyAlignment="1">
      <alignment horizontal="center"/>
    </xf>
    <xf numFmtId="0" fontId="6" fillId="4" borderId="0" xfId="0" applyFont="1" applyFill="1" applyAlignment="1">
      <alignment horizontal="left"/>
    </xf>
    <xf numFmtId="0" fontId="6" fillId="4" borderId="0" xfId="0" applyFont="1" applyFill="1" applyAlignment="1">
      <alignment horizontal="center"/>
    </xf>
    <xf numFmtId="0" fontId="1" fillId="4" borderId="0" xfId="0" applyFont="1" applyFill="1" applyAlignment="1">
      <alignment horizontal="left"/>
    </xf>
    <xf numFmtId="0" fontId="1" fillId="4" borderId="0" xfId="0" applyFont="1" applyFill="1" applyAlignment="1">
      <alignment horizontal="center"/>
    </xf>
    <xf numFmtId="0" fontId="0" fillId="4" borderId="0" xfId="0" applyFill="1" applyAlignment="1">
      <alignment horizontal="left"/>
    </xf>
    <xf numFmtId="0" fontId="0" fillId="4" borderId="0" xfId="0" applyFill="1" applyAlignment="1">
      <alignment horizontal="center"/>
    </xf>
    <xf numFmtId="0" fontId="0" fillId="4" borderId="0" xfId="0" applyFill="1"/>
    <xf numFmtId="0" fontId="0" fillId="4" borderId="16" xfId="0" applyFill="1" applyBorder="1"/>
    <xf numFmtId="2" fontId="6" fillId="3" borderId="8" xfId="0" applyNumberFormat="1" applyFont="1" applyFill="1" applyBorder="1" applyAlignment="1">
      <alignment horizontal="left" vertical="center"/>
    </xf>
    <xf numFmtId="164" fontId="6" fillId="3" borderId="8" xfId="0" applyNumberFormat="1" applyFont="1" applyFill="1" applyBorder="1" applyAlignment="1">
      <alignment horizontal="left" vertical="center"/>
    </xf>
    <xf numFmtId="3" fontId="6" fillId="3" borderId="8" xfId="0" applyNumberFormat="1" applyFont="1" applyFill="1" applyBorder="1" applyAlignment="1">
      <alignment horizontal="left" vertical="center"/>
    </xf>
    <xf numFmtId="0" fontId="8" fillId="6" borderId="17" xfId="0" applyFont="1" applyFill="1" applyBorder="1" applyAlignment="1" applyProtection="1">
      <alignment horizontal="left" vertical="center"/>
      <protection locked="0"/>
    </xf>
    <xf numFmtId="0" fontId="4" fillId="9" borderId="1" xfId="0" applyFont="1" applyFill="1" applyBorder="1" applyAlignment="1">
      <alignment horizontal="left" wrapText="1"/>
    </xf>
    <xf numFmtId="2" fontId="4" fillId="9" borderId="1" xfId="0" applyNumberFormat="1" applyFont="1" applyFill="1" applyBorder="1" applyAlignment="1">
      <alignment horizontal="center" wrapText="1"/>
    </xf>
    <xf numFmtId="166" fontId="4" fillId="9" borderId="1" xfId="0" applyNumberFormat="1" applyFont="1" applyFill="1" applyBorder="1" applyAlignment="1">
      <alignment horizontal="center" wrapText="1"/>
    </xf>
    <xf numFmtId="0" fontId="4" fillId="9" borderId="1" xfId="0" applyFont="1" applyFill="1" applyBorder="1" applyAlignment="1">
      <alignment horizontal="center" wrapText="1"/>
    </xf>
    <xf numFmtId="167" fontId="4" fillId="9" borderId="1" xfId="0" applyNumberFormat="1" applyFont="1" applyFill="1" applyBorder="1" applyAlignment="1">
      <alignment horizontal="center" wrapText="1"/>
    </xf>
    <xf numFmtId="164" fontId="4" fillId="9" borderId="1" xfId="0" applyNumberFormat="1" applyFont="1" applyFill="1" applyBorder="1" applyAlignment="1">
      <alignment horizontal="center" wrapText="1"/>
    </xf>
    <xf numFmtId="2" fontId="2" fillId="0" borderId="1" xfId="0" applyNumberFormat="1" applyFont="1" applyBorder="1" applyAlignment="1">
      <alignment horizontal="center" wrapText="1"/>
    </xf>
    <xf numFmtId="164" fontId="2" fillId="0" borderId="1" xfId="0" applyNumberFormat="1" applyFont="1" applyBorder="1" applyAlignment="1">
      <alignment horizontal="center" wrapText="1"/>
    </xf>
    <xf numFmtId="0" fontId="2" fillId="0" borderId="1" xfId="0" applyFont="1" applyBorder="1" applyAlignment="1">
      <alignment horizontal="center" wrapText="1"/>
    </xf>
    <xf numFmtId="167" fontId="2" fillId="0" borderId="1" xfId="0" applyNumberFormat="1" applyFont="1" applyBorder="1" applyAlignment="1">
      <alignment horizontal="center" wrapText="1"/>
    </xf>
    <xf numFmtId="0" fontId="2" fillId="7" borderId="1" xfId="0" applyFont="1" applyFill="1" applyBorder="1" applyAlignment="1">
      <alignment horizontal="left"/>
    </xf>
    <xf numFmtId="2" fontId="2" fillId="7" borderId="1" xfId="0" applyNumberFormat="1" applyFont="1" applyFill="1" applyBorder="1" applyAlignment="1">
      <alignment horizontal="center"/>
    </xf>
    <xf numFmtId="166" fontId="2" fillId="7" borderId="1" xfId="0" applyNumberFormat="1" applyFont="1" applyFill="1" applyBorder="1" applyAlignment="1">
      <alignment horizontal="center"/>
    </xf>
    <xf numFmtId="0" fontId="2" fillId="7" borderId="1" xfId="0" applyFont="1" applyFill="1" applyBorder="1" applyAlignment="1">
      <alignment horizontal="center"/>
    </xf>
    <xf numFmtId="167" fontId="2" fillId="7" borderId="1" xfId="0" applyNumberFormat="1" applyFont="1" applyFill="1" applyBorder="1" applyAlignment="1">
      <alignment horizontal="center"/>
    </xf>
    <xf numFmtId="164" fontId="2" fillId="7" borderId="1" xfId="0" applyNumberFormat="1" applyFont="1" applyFill="1" applyBorder="1" applyAlignment="1">
      <alignment horizontal="center"/>
    </xf>
    <xf numFmtId="2" fontId="2" fillId="0" borderId="1" xfId="0" applyNumberFormat="1" applyFont="1" applyBorder="1" applyAlignment="1">
      <alignment horizontal="center"/>
    </xf>
    <xf numFmtId="166" fontId="2" fillId="0" borderId="1" xfId="0" applyNumberFormat="1" applyFont="1" applyBorder="1" applyAlignment="1">
      <alignment horizontal="center"/>
    </xf>
    <xf numFmtId="0" fontId="2" fillId="0" borderId="1" xfId="0" applyFont="1" applyBorder="1" applyAlignment="1">
      <alignment horizontal="center"/>
    </xf>
    <xf numFmtId="167" fontId="2" fillId="0" borderId="1" xfId="0" applyNumberFormat="1" applyFont="1" applyBorder="1" applyAlignment="1">
      <alignment horizontal="center"/>
    </xf>
    <xf numFmtId="164" fontId="2" fillId="0" borderId="1" xfId="0" applyNumberFormat="1" applyFont="1" applyBorder="1" applyAlignment="1">
      <alignment horizontal="center"/>
    </xf>
    <xf numFmtId="2" fontId="2" fillId="7" borderId="1" xfId="0" quotePrefix="1" applyNumberFormat="1" applyFont="1" applyFill="1" applyBorder="1" applyAlignment="1">
      <alignment horizontal="center"/>
    </xf>
    <xf numFmtId="2" fontId="2" fillId="0" borderId="1" xfId="0" quotePrefix="1" applyNumberFormat="1" applyFont="1" applyBorder="1" applyAlignment="1">
      <alignment horizontal="center"/>
    </xf>
    <xf numFmtId="0" fontId="4" fillId="10" borderId="1" xfId="0" applyFont="1" applyFill="1" applyBorder="1" applyAlignment="1">
      <alignment horizontal="left" wrapText="1"/>
    </xf>
    <xf numFmtId="164" fontId="4" fillId="10" borderId="1" xfId="0" applyNumberFormat="1" applyFont="1" applyFill="1" applyBorder="1" applyAlignment="1">
      <alignment horizontal="center" wrapText="1"/>
    </xf>
    <xf numFmtId="0" fontId="4" fillId="10" borderId="1" xfId="0" applyFont="1" applyFill="1" applyBorder="1" applyAlignment="1">
      <alignment horizontal="center" wrapText="1"/>
    </xf>
    <xf numFmtId="0" fontId="4" fillId="10" borderId="1" xfId="0" applyFont="1" applyFill="1" applyBorder="1" applyAlignment="1">
      <alignment horizontal="center"/>
    </xf>
    <xf numFmtId="165" fontId="2" fillId="0" borderId="1" xfId="0" applyNumberFormat="1" applyFont="1" applyBorder="1" applyAlignment="1">
      <alignment horizontal="center"/>
    </xf>
    <xf numFmtId="49" fontId="2" fillId="7" borderId="1" xfId="0" applyNumberFormat="1" applyFont="1" applyFill="1" applyBorder="1" applyAlignment="1">
      <alignment horizontal="left"/>
    </xf>
    <xf numFmtId="165" fontId="2" fillId="7" borderId="1" xfId="0" applyNumberFormat="1" applyFont="1" applyFill="1" applyBorder="1" applyAlignment="1">
      <alignment horizontal="center"/>
    </xf>
    <xf numFmtId="0" fontId="18" fillId="7" borderId="9" xfId="0" applyFont="1" applyFill="1" applyBorder="1" applyAlignment="1">
      <alignment horizontal="left" vertical="top" wrapText="1"/>
    </xf>
    <xf numFmtId="0" fontId="19" fillId="7" borderId="10" xfId="0" applyFont="1" applyFill="1" applyBorder="1" applyAlignment="1">
      <alignment horizontal="left" vertical="top" wrapText="1"/>
    </xf>
    <xf numFmtId="0" fontId="19" fillId="7" borderId="11" xfId="0" applyFont="1" applyFill="1" applyBorder="1" applyAlignment="1">
      <alignment horizontal="left" vertical="top" wrapText="1"/>
    </xf>
    <xf numFmtId="0" fontId="19" fillId="7" borderId="12" xfId="0" applyFont="1" applyFill="1" applyBorder="1" applyAlignment="1">
      <alignment horizontal="left" vertical="top" wrapText="1"/>
    </xf>
    <xf numFmtId="0" fontId="19" fillId="7" borderId="0" xfId="0" applyFont="1" applyFill="1" applyAlignment="1">
      <alignment horizontal="left" vertical="top" wrapText="1"/>
    </xf>
    <xf numFmtId="0" fontId="19" fillId="7" borderId="13" xfId="0" applyFont="1" applyFill="1" applyBorder="1" applyAlignment="1">
      <alignment horizontal="left" vertical="top" wrapText="1"/>
    </xf>
    <xf numFmtId="0" fontId="0" fillId="0" borderId="14" xfId="0" applyBorder="1" applyAlignment="1">
      <alignment wrapText="1"/>
    </xf>
    <xf numFmtId="0" fontId="0" fillId="0" borderId="15" xfId="0" applyBorder="1" applyAlignment="1">
      <alignment wrapText="1"/>
    </xf>
    <xf numFmtId="0" fontId="0" fillId="0" borderId="16" xfId="0" applyBorder="1" applyAlignment="1">
      <alignment wrapText="1"/>
    </xf>
    <xf numFmtId="0" fontId="20" fillId="8" borderId="9" xfId="0" applyFont="1" applyFill="1" applyBorder="1" applyAlignment="1">
      <alignment horizontal="left" vertical="top" wrapText="1"/>
    </xf>
    <xf numFmtId="0" fontId="20" fillId="8" borderId="10" xfId="0" applyFont="1" applyFill="1" applyBorder="1" applyAlignment="1">
      <alignment horizontal="left" vertical="top" wrapText="1"/>
    </xf>
    <xf numFmtId="0" fontId="20" fillId="8" borderId="11" xfId="0" applyFont="1" applyFill="1" applyBorder="1" applyAlignment="1">
      <alignment horizontal="left" vertical="top" wrapText="1"/>
    </xf>
    <xf numFmtId="0" fontId="20" fillId="8" borderId="12" xfId="0" applyFont="1" applyFill="1" applyBorder="1" applyAlignment="1">
      <alignment horizontal="left" vertical="top" wrapText="1"/>
    </xf>
    <xf numFmtId="0" fontId="20" fillId="8" borderId="0" xfId="0" applyFont="1" applyFill="1" applyAlignment="1">
      <alignment horizontal="left" vertical="top" wrapText="1"/>
    </xf>
    <xf numFmtId="0" fontId="20" fillId="8" borderId="13" xfId="0" applyFont="1" applyFill="1" applyBorder="1" applyAlignment="1">
      <alignment horizontal="left" vertical="top" wrapText="1"/>
    </xf>
    <xf numFmtId="0" fontId="0" fillId="0" borderId="12"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6" fillId="2" borderId="1" xfId="0" applyFont="1" applyFill="1" applyBorder="1" applyAlignment="1">
      <alignment horizontal="center"/>
    </xf>
    <xf numFmtId="0" fontId="5" fillId="4" borderId="9" xfId="0" applyFont="1" applyFill="1" applyBorder="1" applyAlignment="1">
      <alignment horizontal="center"/>
    </xf>
    <xf numFmtId="0" fontId="5" fillId="4" borderId="10" xfId="0" applyFont="1" applyFill="1" applyBorder="1" applyAlignment="1">
      <alignment horizontal="center"/>
    </xf>
    <xf numFmtId="0" fontId="5" fillId="4" borderId="11" xfId="0" applyFont="1" applyFill="1" applyBorder="1" applyAlignment="1">
      <alignment horizont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15" fillId="4" borderId="0" xfId="0" applyFont="1" applyFill="1" applyAlignment="1">
      <alignment horizontal="center"/>
    </xf>
    <xf numFmtId="164" fontId="17" fillId="4"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D5C2E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cid:image001.png@01DBB440.1943C520" TargetMode="External"/><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142875</xdr:rowOff>
    </xdr:from>
    <xdr:to>
      <xdr:col>9</xdr:col>
      <xdr:colOff>590551</xdr:colOff>
      <xdr:row>4</xdr:row>
      <xdr:rowOff>82725</xdr:rowOff>
    </xdr:to>
    <xdr:pic>
      <xdr:nvPicPr>
        <xdr:cNvPr id="2" name="Picture 1">
          <a:extLst>
            <a:ext uri="{FF2B5EF4-FFF2-40B4-BE49-F238E27FC236}">
              <a16:creationId xmlns:a16="http://schemas.microsoft.com/office/drawing/2014/main" id="{A2B963D1-68FB-469A-A941-664D06090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1" y="142875"/>
          <a:ext cx="5467350" cy="70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28575</xdr:colOff>
      <xdr:row>45</xdr:row>
      <xdr:rowOff>66675</xdr:rowOff>
    </xdr:from>
    <xdr:to>
      <xdr:col>5</xdr:col>
      <xdr:colOff>295275</xdr:colOff>
      <xdr:row>46</xdr:row>
      <xdr:rowOff>142875</xdr:rowOff>
    </xdr:to>
    <xdr:pic>
      <xdr:nvPicPr>
        <xdr:cNvPr id="3" name="Picture 2">
          <a:extLst>
            <a:ext uri="{FF2B5EF4-FFF2-40B4-BE49-F238E27FC236}">
              <a16:creationId xmlns:a16="http://schemas.microsoft.com/office/drawing/2014/main" id="{EF065357-5124-48EF-925D-EE45B7A413FB}"/>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1857375" y="8324850"/>
          <a:ext cx="2705100"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4FB12-90E4-407C-84BE-F84613F939D4}">
  <sheetPr>
    <pageSetUpPr fitToPage="1"/>
  </sheetPr>
  <dimension ref="A1:K53"/>
  <sheetViews>
    <sheetView workbookViewId="0">
      <selection activeCell="M6" sqref="M6"/>
    </sheetView>
  </sheetViews>
  <sheetFormatPr defaultRowHeight="15" x14ac:dyDescent="0.25"/>
  <sheetData>
    <row r="1" spans="1:11" x14ac:dyDescent="0.25">
      <c r="A1" s="56"/>
      <c r="B1" s="56"/>
      <c r="C1" s="56"/>
      <c r="D1" s="56"/>
      <c r="E1" s="56"/>
      <c r="F1" s="56"/>
      <c r="G1" s="56"/>
      <c r="H1" s="56"/>
      <c r="I1" s="56"/>
      <c r="J1" s="56"/>
      <c r="K1" s="56"/>
    </row>
    <row r="2" spans="1:11" x14ac:dyDescent="0.25">
      <c r="A2" s="56"/>
      <c r="B2" s="56"/>
      <c r="C2" s="56"/>
      <c r="D2" s="56"/>
      <c r="E2" s="56"/>
      <c r="F2" s="56"/>
      <c r="G2" s="56"/>
      <c r="H2" s="56"/>
      <c r="I2" s="56"/>
      <c r="J2" s="56"/>
      <c r="K2" s="56"/>
    </row>
    <row r="3" spans="1:11" x14ac:dyDescent="0.25">
      <c r="A3" s="56"/>
      <c r="B3" s="56"/>
      <c r="C3" s="56"/>
      <c r="D3" s="56"/>
      <c r="E3" s="56"/>
      <c r="F3" s="56"/>
      <c r="G3" s="56"/>
      <c r="H3" s="56"/>
      <c r="I3" s="56"/>
      <c r="J3" s="56"/>
      <c r="K3" s="56"/>
    </row>
    <row r="4" spans="1:11" x14ac:dyDescent="0.25">
      <c r="A4" s="56"/>
      <c r="B4" s="56"/>
      <c r="C4" s="56"/>
      <c r="D4" s="56"/>
      <c r="E4" s="56"/>
      <c r="F4" s="56"/>
      <c r="G4" s="56"/>
      <c r="H4" s="56"/>
      <c r="I4" s="56"/>
      <c r="J4" s="56"/>
      <c r="K4" s="56"/>
    </row>
    <row r="5" spans="1:11" ht="15.75" thickBot="1" x14ac:dyDescent="0.3">
      <c r="A5" s="56"/>
      <c r="B5" s="56"/>
      <c r="C5" s="56"/>
      <c r="D5" s="56"/>
      <c r="E5" s="56"/>
      <c r="F5" s="56"/>
      <c r="G5" s="56"/>
      <c r="H5" s="56"/>
      <c r="I5" s="56"/>
      <c r="J5" s="56"/>
      <c r="K5" s="56"/>
    </row>
    <row r="6" spans="1:11" ht="15" customHeight="1" x14ac:dyDescent="0.25">
      <c r="A6" s="56"/>
      <c r="B6" s="101" t="s">
        <v>464</v>
      </c>
      <c r="C6" s="102"/>
      <c r="D6" s="102"/>
      <c r="E6" s="102"/>
      <c r="F6" s="102"/>
      <c r="G6" s="102"/>
      <c r="H6" s="102"/>
      <c r="I6" s="102"/>
      <c r="J6" s="103"/>
      <c r="K6" s="56"/>
    </row>
    <row r="7" spans="1:11" ht="15" customHeight="1" x14ac:dyDescent="0.25">
      <c r="A7" s="56"/>
      <c r="B7" s="104"/>
      <c r="C7" s="105"/>
      <c r="D7" s="105"/>
      <c r="E7" s="105"/>
      <c r="F7" s="105"/>
      <c r="G7" s="105"/>
      <c r="H7" s="105"/>
      <c r="I7" s="105"/>
      <c r="J7" s="106"/>
      <c r="K7" s="56"/>
    </row>
    <row r="8" spans="1:11" ht="15" customHeight="1" x14ac:dyDescent="0.25">
      <c r="A8" s="56"/>
      <c r="B8" s="104"/>
      <c r="C8" s="105"/>
      <c r="D8" s="105"/>
      <c r="E8" s="105"/>
      <c r="F8" s="105"/>
      <c r="G8" s="105"/>
      <c r="H8" s="105"/>
      <c r="I8" s="105"/>
      <c r="J8" s="106"/>
      <c r="K8" s="56"/>
    </row>
    <row r="9" spans="1:11" ht="15" customHeight="1" x14ac:dyDescent="0.25">
      <c r="A9" s="56"/>
      <c r="B9" s="104"/>
      <c r="C9" s="105"/>
      <c r="D9" s="105"/>
      <c r="E9" s="105"/>
      <c r="F9" s="105"/>
      <c r="G9" s="105"/>
      <c r="H9" s="105"/>
      <c r="I9" s="105"/>
      <c r="J9" s="106"/>
      <c r="K9" s="56"/>
    </row>
    <row r="10" spans="1:11" ht="15" customHeight="1" x14ac:dyDescent="0.25">
      <c r="A10" s="56"/>
      <c r="B10" s="104"/>
      <c r="C10" s="105"/>
      <c r="D10" s="105"/>
      <c r="E10" s="105"/>
      <c r="F10" s="105"/>
      <c r="G10" s="105"/>
      <c r="H10" s="105"/>
      <c r="I10" s="105"/>
      <c r="J10" s="106"/>
      <c r="K10" s="56"/>
    </row>
    <row r="11" spans="1:11" ht="15" customHeight="1" x14ac:dyDescent="0.25">
      <c r="A11" s="56"/>
      <c r="B11" s="104"/>
      <c r="C11" s="105"/>
      <c r="D11" s="105"/>
      <c r="E11" s="105"/>
      <c r="F11" s="105"/>
      <c r="G11" s="105"/>
      <c r="H11" s="105"/>
      <c r="I11" s="105"/>
      <c r="J11" s="106"/>
      <c r="K11" s="56"/>
    </row>
    <row r="12" spans="1:11" ht="15" customHeight="1" x14ac:dyDescent="0.25">
      <c r="A12" s="56"/>
      <c r="B12" s="104"/>
      <c r="C12" s="105"/>
      <c r="D12" s="105"/>
      <c r="E12" s="105"/>
      <c r="F12" s="105"/>
      <c r="G12" s="105"/>
      <c r="H12" s="105"/>
      <c r="I12" s="105"/>
      <c r="J12" s="106"/>
      <c r="K12" s="56"/>
    </row>
    <row r="13" spans="1:11" ht="15" customHeight="1" x14ac:dyDescent="0.25">
      <c r="A13" s="56"/>
      <c r="B13" s="104"/>
      <c r="C13" s="105"/>
      <c r="D13" s="105"/>
      <c r="E13" s="105"/>
      <c r="F13" s="105"/>
      <c r="G13" s="105"/>
      <c r="H13" s="105"/>
      <c r="I13" s="105"/>
      <c r="J13" s="106"/>
      <c r="K13" s="56"/>
    </row>
    <row r="14" spans="1:11" ht="15" customHeight="1" x14ac:dyDescent="0.25">
      <c r="A14" s="56"/>
      <c r="B14" s="104"/>
      <c r="C14" s="105"/>
      <c r="D14" s="105"/>
      <c r="E14" s="105"/>
      <c r="F14" s="105"/>
      <c r="G14" s="105"/>
      <c r="H14" s="105"/>
      <c r="I14" s="105"/>
      <c r="J14" s="106"/>
      <c r="K14" s="56"/>
    </row>
    <row r="15" spans="1:11" ht="15" customHeight="1" x14ac:dyDescent="0.25">
      <c r="A15" s="56"/>
      <c r="B15" s="104"/>
      <c r="C15" s="105"/>
      <c r="D15" s="105"/>
      <c r="E15" s="105"/>
      <c r="F15" s="105"/>
      <c r="G15" s="105"/>
      <c r="H15" s="105"/>
      <c r="I15" s="105"/>
      <c r="J15" s="106"/>
      <c r="K15" s="56"/>
    </row>
    <row r="16" spans="1:11" ht="15" customHeight="1" x14ac:dyDescent="0.25">
      <c r="A16" s="56"/>
      <c r="B16" s="104"/>
      <c r="C16" s="105"/>
      <c r="D16" s="105"/>
      <c r="E16" s="105"/>
      <c r="F16" s="105"/>
      <c r="G16" s="105"/>
      <c r="H16" s="105"/>
      <c r="I16" s="105"/>
      <c r="J16" s="106"/>
      <c r="K16" s="56"/>
    </row>
    <row r="17" spans="1:11" ht="15" customHeight="1" x14ac:dyDescent="0.25">
      <c r="A17" s="56"/>
      <c r="B17" s="104"/>
      <c r="C17" s="105"/>
      <c r="D17" s="105"/>
      <c r="E17" s="105"/>
      <c r="F17" s="105"/>
      <c r="G17" s="105"/>
      <c r="H17" s="105"/>
      <c r="I17" s="105"/>
      <c r="J17" s="106"/>
      <c r="K17" s="56"/>
    </row>
    <row r="18" spans="1:11" ht="15" customHeight="1" x14ac:dyDescent="0.25">
      <c r="A18" s="56"/>
      <c r="B18" s="104"/>
      <c r="C18" s="105"/>
      <c r="D18" s="105"/>
      <c r="E18" s="105"/>
      <c r="F18" s="105"/>
      <c r="G18" s="105"/>
      <c r="H18" s="105"/>
      <c r="I18" s="105"/>
      <c r="J18" s="106"/>
      <c r="K18" s="56"/>
    </row>
    <row r="19" spans="1:11" ht="15" customHeight="1" x14ac:dyDescent="0.25">
      <c r="A19" s="56"/>
      <c r="B19" s="104"/>
      <c r="C19" s="105"/>
      <c r="D19" s="105"/>
      <c r="E19" s="105"/>
      <c r="F19" s="105"/>
      <c r="G19" s="105"/>
      <c r="H19" s="105"/>
      <c r="I19" s="105"/>
      <c r="J19" s="106"/>
      <c r="K19" s="56"/>
    </row>
    <row r="20" spans="1:11" ht="15" customHeight="1" x14ac:dyDescent="0.25">
      <c r="A20" s="56"/>
      <c r="B20" s="104"/>
      <c r="C20" s="105"/>
      <c r="D20" s="105"/>
      <c r="E20" s="105"/>
      <c r="F20" s="105"/>
      <c r="G20" s="105"/>
      <c r="H20" s="105"/>
      <c r="I20" s="105"/>
      <c r="J20" s="106"/>
      <c r="K20" s="56"/>
    </row>
    <row r="21" spans="1:11" ht="15" customHeight="1" x14ac:dyDescent="0.25">
      <c r="A21" s="56"/>
      <c r="B21" s="104"/>
      <c r="C21" s="105"/>
      <c r="D21" s="105"/>
      <c r="E21" s="105"/>
      <c r="F21" s="105"/>
      <c r="G21" s="105"/>
      <c r="H21" s="105"/>
      <c r="I21" s="105"/>
      <c r="J21" s="106"/>
      <c r="K21" s="56"/>
    </row>
    <row r="22" spans="1:11" ht="15" customHeight="1" x14ac:dyDescent="0.25">
      <c r="A22" s="56"/>
      <c r="B22" s="104"/>
      <c r="C22" s="105"/>
      <c r="D22" s="105"/>
      <c r="E22" s="105"/>
      <c r="F22" s="105"/>
      <c r="G22" s="105"/>
      <c r="H22" s="105"/>
      <c r="I22" s="105"/>
      <c r="J22" s="106"/>
      <c r="K22" s="56"/>
    </row>
    <row r="23" spans="1:11" ht="15" customHeight="1" x14ac:dyDescent="0.25">
      <c r="A23" s="56"/>
      <c r="B23" s="104"/>
      <c r="C23" s="105"/>
      <c r="D23" s="105"/>
      <c r="E23" s="105"/>
      <c r="F23" s="105"/>
      <c r="G23" s="105"/>
      <c r="H23" s="105"/>
      <c r="I23" s="105"/>
      <c r="J23" s="106"/>
      <c r="K23" s="56"/>
    </row>
    <row r="24" spans="1:11" ht="15" customHeight="1" x14ac:dyDescent="0.25">
      <c r="A24" s="56"/>
      <c r="B24" s="104"/>
      <c r="C24" s="105"/>
      <c r="D24" s="105"/>
      <c r="E24" s="105"/>
      <c r="F24" s="105"/>
      <c r="G24" s="105"/>
      <c r="H24" s="105"/>
      <c r="I24" s="105"/>
      <c r="J24" s="106"/>
      <c r="K24" s="56"/>
    </row>
    <row r="25" spans="1:11" ht="15" customHeight="1" x14ac:dyDescent="0.25">
      <c r="A25" s="56"/>
      <c r="B25" s="104"/>
      <c r="C25" s="105"/>
      <c r="D25" s="105"/>
      <c r="E25" s="105"/>
      <c r="F25" s="105"/>
      <c r="G25" s="105"/>
      <c r="H25" s="105"/>
      <c r="I25" s="105"/>
      <c r="J25" s="106"/>
      <c r="K25" s="56"/>
    </row>
    <row r="26" spans="1:11" ht="15" customHeight="1" x14ac:dyDescent="0.25">
      <c r="A26" s="56"/>
      <c r="B26" s="104"/>
      <c r="C26" s="105"/>
      <c r="D26" s="105"/>
      <c r="E26" s="105"/>
      <c r="F26" s="105"/>
      <c r="G26" s="105"/>
      <c r="H26" s="105"/>
      <c r="I26" s="105"/>
      <c r="J26" s="106"/>
      <c r="K26" s="56"/>
    </row>
    <row r="27" spans="1:11" ht="15" customHeight="1" x14ac:dyDescent="0.25">
      <c r="A27" s="56"/>
      <c r="B27" s="104"/>
      <c r="C27" s="105"/>
      <c r="D27" s="105"/>
      <c r="E27" s="105"/>
      <c r="F27" s="105"/>
      <c r="G27" s="105"/>
      <c r="H27" s="105"/>
      <c r="I27" s="105"/>
      <c r="J27" s="106"/>
      <c r="K27" s="56"/>
    </row>
    <row r="28" spans="1:11" ht="15" customHeight="1" x14ac:dyDescent="0.25">
      <c r="A28" s="56"/>
      <c r="B28" s="104"/>
      <c r="C28" s="105"/>
      <c r="D28" s="105"/>
      <c r="E28" s="105"/>
      <c r="F28" s="105"/>
      <c r="G28" s="105"/>
      <c r="H28" s="105"/>
      <c r="I28" s="105"/>
      <c r="J28" s="106"/>
      <c r="K28" s="56"/>
    </row>
    <row r="29" spans="1:11" ht="15" customHeight="1" x14ac:dyDescent="0.25">
      <c r="A29" s="56"/>
      <c r="B29" s="104"/>
      <c r="C29" s="105"/>
      <c r="D29" s="105"/>
      <c r="E29" s="105"/>
      <c r="F29" s="105"/>
      <c r="G29" s="105"/>
      <c r="H29" s="105"/>
      <c r="I29" s="105"/>
      <c r="J29" s="106"/>
      <c r="K29" s="56"/>
    </row>
    <row r="30" spans="1:11" ht="15" customHeight="1" x14ac:dyDescent="0.25">
      <c r="A30" s="56"/>
      <c r="B30" s="104"/>
      <c r="C30" s="105"/>
      <c r="D30" s="105"/>
      <c r="E30" s="105"/>
      <c r="F30" s="105"/>
      <c r="G30" s="105"/>
      <c r="H30" s="105"/>
      <c r="I30" s="105"/>
      <c r="J30" s="106"/>
      <c r="K30" s="56"/>
    </row>
    <row r="31" spans="1:11" ht="15" customHeight="1" x14ac:dyDescent="0.25">
      <c r="A31" s="56"/>
      <c r="B31" s="104"/>
      <c r="C31" s="105"/>
      <c r="D31" s="105"/>
      <c r="E31" s="105"/>
      <c r="F31" s="105"/>
      <c r="G31" s="105"/>
      <c r="H31" s="105"/>
      <c r="I31" s="105"/>
      <c r="J31" s="106"/>
      <c r="K31" s="56"/>
    </row>
    <row r="32" spans="1:11" ht="15" customHeight="1" x14ac:dyDescent="0.25">
      <c r="A32" s="56"/>
      <c r="B32" s="104"/>
      <c r="C32" s="105"/>
      <c r="D32" s="105"/>
      <c r="E32" s="105"/>
      <c r="F32" s="105"/>
      <c r="G32" s="105"/>
      <c r="H32" s="105"/>
      <c r="I32" s="105"/>
      <c r="J32" s="106"/>
      <c r="K32" s="56"/>
    </row>
    <row r="33" spans="1:11" ht="15" customHeight="1" x14ac:dyDescent="0.25">
      <c r="A33" s="56"/>
      <c r="B33" s="104"/>
      <c r="C33" s="105"/>
      <c r="D33" s="105"/>
      <c r="E33" s="105"/>
      <c r="F33" s="105"/>
      <c r="G33" s="105"/>
      <c r="H33" s="105"/>
      <c r="I33" s="105"/>
      <c r="J33" s="106"/>
      <c r="K33" s="56"/>
    </row>
    <row r="34" spans="1:11" ht="15" customHeight="1" x14ac:dyDescent="0.25">
      <c r="A34" s="56"/>
      <c r="B34" s="107"/>
      <c r="C34" s="108"/>
      <c r="D34" s="108"/>
      <c r="E34" s="108"/>
      <c r="F34" s="108"/>
      <c r="G34" s="108"/>
      <c r="H34" s="108"/>
      <c r="I34" s="108"/>
      <c r="J34" s="109"/>
      <c r="K34" s="56"/>
    </row>
    <row r="35" spans="1:11" ht="15" customHeight="1" x14ac:dyDescent="0.25">
      <c r="A35" s="56"/>
      <c r="B35" s="107"/>
      <c r="C35" s="108"/>
      <c r="D35" s="108"/>
      <c r="E35" s="108"/>
      <c r="F35" s="108"/>
      <c r="G35" s="108"/>
      <c r="H35" s="108"/>
      <c r="I35" s="108"/>
      <c r="J35" s="109"/>
      <c r="K35" s="56"/>
    </row>
    <row r="36" spans="1:11" ht="15" customHeight="1" x14ac:dyDescent="0.25">
      <c r="A36" s="56"/>
      <c r="B36" s="107"/>
      <c r="C36" s="108"/>
      <c r="D36" s="108"/>
      <c r="E36" s="108"/>
      <c r="F36" s="108"/>
      <c r="G36" s="108"/>
      <c r="H36" s="108"/>
      <c r="I36" s="108"/>
      <c r="J36" s="109"/>
      <c r="K36" s="56"/>
    </row>
    <row r="37" spans="1:11" ht="15" customHeight="1" x14ac:dyDescent="0.25">
      <c r="A37" s="56"/>
      <c r="B37" s="107"/>
      <c r="C37" s="108"/>
      <c r="D37" s="108"/>
      <c r="E37" s="108"/>
      <c r="F37" s="108"/>
      <c r="G37" s="108"/>
      <c r="H37" s="108"/>
      <c r="I37" s="108"/>
      <c r="J37" s="109"/>
      <c r="K37" s="56"/>
    </row>
    <row r="38" spans="1:11" ht="15" customHeight="1" x14ac:dyDescent="0.25">
      <c r="A38" s="56"/>
      <c r="B38" s="107"/>
      <c r="C38" s="108"/>
      <c r="D38" s="108"/>
      <c r="E38" s="108"/>
      <c r="F38" s="108"/>
      <c r="G38" s="108"/>
      <c r="H38" s="108"/>
      <c r="I38" s="108"/>
      <c r="J38" s="109"/>
      <c r="K38" s="56"/>
    </row>
    <row r="39" spans="1:11" ht="15" customHeight="1" x14ac:dyDescent="0.25">
      <c r="A39" s="56"/>
      <c r="B39" s="107"/>
      <c r="C39" s="108"/>
      <c r="D39" s="108"/>
      <c r="E39" s="108"/>
      <c r="F39" s="108"/>
      <c r="G39" s="108"/>
      <c r="H39" s="108"/>
      <c r="I39" s="108"/>
      <c r="J39" s="109"/>
      <c r="K39" s="56"/>
    </row>
    <row r="40" spans="1:11" ht="15" customHeight="1" thickBot="1" x14ac:dyDescent="0.3">
      <c r="A40" s="56"/>
      <c r="B40" s="110"/>
      <c r="C40" s="111"/>
      <c r="D40" s="111"/>
      <c r="E40" s="111"/>
      <c r="F40" s="111"/>
      <c r="G40" s="111"/>
      <c r="H40" s="111"/>
      <c r="I40" s="111"/>
      <c r="J40" s="112"/>
      <c r="K40" s="56"/>
    </row>
    <row r="41" spans="1:11" x14ac:dyDescent="0.25">
      <c r="A41" s="56"/>
      <c r="B41" s="56"/>
      <c r="C41" s="56"/>
      <c r="D41" s="56"/>
      <c r="E41" s="56"/>
      <c r="F41" s="56"/>
      <c r="G41" s="56"/>
      <c r="H41" s="56"/>
      <c r="I41" s="56"/>
      <c r="J41" s="56"/>
      <c r="K41" s="56"/>
    </row>
    <row r="42" spans="1:11" ht="15.75" thickBot="1" x14ac:dyDescent="0.3">
      <c r="A42" s="56"/>
      <c r="B42" s="56"/>
      <c r="C42" s="56"/>
      <c r="D42" s="56"/>
      <c r="E42" s="56"/>
      <c r="F42" s="56"/>
      <c r="G42" s="56"/>
      <c r="H42" s="56"/>
      <c r="I42" s="56"/>
      <c r="J42" s="56"/>
      <c r="K42" s="56"/>
    </row>
    <row r="43" spans="1:11" ht="15.75" x14ac:dyDescent="0.25">
      <c r="A43" s="56"/>
      <c r="B43" s="92" t="s">
        <v>452</v>
      </c>
      <c r="C43" s="93"/>
      <c r="D43" s="93"/>
      <c r="E43" s="93"/>
      <c r="F43" s="94"/>
      <c r="G43" s="56"/>
      <c r="H43" s="113" t="s">
        <v>463</v>
      </c>
      <c r="I43" s="113"/>
      <c r="J43" s="113"/>
      <c r="K43" s="56"/>
    </row>
    <row r="44" spans="1:11" x14ac:dyDescent="0.25">
      <c r="A44" s="56"/>
      <c r="B44" s="95"/>
      <c r="C44" s="96"/>
      <c r="D44" s="96"/>
      <c r="E44" s="96"/>
      <c r="F44" s="97"/>
      <c r="G44" s="56"/>
      <c r="H44" s="56"/>
      <c r="I44" s="56"/>
      <c r="J44" s="56"/>
      <c r="K44" s="56"/>
    </row>
    <row r="45" spans="1:11" x14ac:dyDescent="0.25">
      <c r="A45" s="56"/>
      <c r="B45" s="95"/>
      <c r="C45" s="96"/>
      <c r="D45" s="96"/>
      <c r="E45" s="96"/>
      <c r="F45" s="97"/>
      <c r="G45" s="56"/>
      <c r="H45" s="56"/>
      <c r="I45" s="56"/>
      <c r="J45" s="56"/>
      <c r="K45" s="56"/>
    </row>
    <row r="46" spans="1:11" x14ac:dyDescent="0.25">
      <c r="A46" s="56"/>
      <c r="B46" s="95"/>
      <c r="C46" s="96"/>
      <c r="D46" s="96"/>
      <c r="E46" s="96"/>
      <c r="F46" s="97"/>
      <c r="G46" s="56"/>
      <c r="H46" s="56"/>
      <c r="I46" s="56"/>
      <c r="J46" s="56"/>
      <c r="K46" s="56"/>
    </row>
    <row r="47" spans="1:11" x14ac:dyDescent="0.25">
      <c r="A47" s="56"/>
      <c r="B47" s="95"/>
      <c r="C47" s="96"/>
      <c r="D47" s="96"/>
      <c r="E47" s="96"/>
      <c r="F47" s="97"/>
      <c r="G47" s="56"/>
      <c r="H47" s="56"/>
      <c r="I47" s="56"/>
      <c r="J47" s="56"/>
      <c r="K47" s="56"/>
    </row>
    <row r="48" spans="1:11" x14ac:dyDescent="0.25">
      <c r="A48" s="56"/>
      <c r="B48" s="95"/>
      <c r="C48" s="96"/>
      <c r="D48" s="96"/>
      <c r="E48" s="96"/>
      <c r="F48" s="97"/>
      <c r="G48" s="56"/>
      <c r="H48" s="56"/>
      <c r="I48" s="56"/>
      <c r="J48" s="56"/>
      <c r="K48" s="56"/>
    </row>
    <row r="49" spans="1:11" x14ac:dyDescent="0.25">
      <c r="A49" s="56"/>
      <c r="B49" s="95"/>
      <c r="C49" s="96"/>
      <c r="D49" s="96"/>
      <c r="E49" s="96"/>
      <c r="F49" s="97"/>
      <c r="G49" s="56"/>
      <c r="H49" s="56"/>
      <c r="I49" s="56"/>
      <c r="J49" s="56"/>
      <c r="K49" s="56"/>
    </row>
    <row r="50" spans="1:11" x14ac:dyDescent="0.25">
      <c r="A50" s="56"/>
      <c r="B50" s="95"/>
      <c r="C50" s="96"/>
      <c r="D50" s="96"/>
      <c r="E50" s="96"/>
      <c r="F50" s="97"/>
      <c r="G50" s="56"/>
      <c r="H50" s="56"/>
      <c r="I50" s="56"/>
      <c r="J50" s="56"/>
      <c r="K50" s="56"/>
    </row>
    <row r="51" spans="1:11" ht="15.75" thickBot="1" x14ac:dyDescent="0.3">
      <c r="A51" s="56"/>
      <c r="B51" s="98"/>
      <c r="C51" s="99"/>
      <c r="D51" s="99"/>
      <c r="E51" s="99"/>
      <c r="F51" s="100"/>
      <c r="G51" s="56"/>
      <c r="H51" s="56"/>
      <c r="I51" s="56"/>
      <c r="J51" s="56"/>
      <c r="K51" s="56"/>
    </row>
    <row r="52" spans="1:11" x14ac:dyDescent="0.25">
      <c r="A52" s="56"/>
      <c r="B52" s="56"/>
      <c r="C52" s="56"/>
      <c r="D52" s="56"/>
      <c r="E52" s="56"/>
      <c r="F52" s="56"/>
      <c r="G52" s="56"/>
      <c r="H52" s="56"/>
      <c r="I52" s="56"/>
      <c r="J52" s="56"/>
      <c r="K52" s="56"/>
    </row>
    <row r="53" spans="1:11" x14ac:dyDescent="0.25">
      <c r="A53" s="56"/>
      <c r="B53" s="56"/>
      <c r="C53" s="56"/>
      <c r="D53" s="56"/>
      <c r="E53" s="56"/>
      <c r="F53" s="56"/>
      <c r="G53" s="56"/>
      <c r="H53" s="56"/>
      <c r="I53" s="56"/>
      <c r="J53" s="56"/>
      <c r="K53" s="56"/>
    </row>
  </sheetData>
  <sheetProtection algorithmName="SHA-512" hashValue="tG1csLbOIh0gbdTiejwLkb1EBljfXFFdIrMMuoRwr8KNOEIHbpalKpC0hiE7Tlg1bCTMvn/Jhn9InlesKRK0/A==" saltValue="sqxWJj2X3SIRZEqR4W2zvw==" spinCount="100000" sheet="1" objects="1" scenarios="1"/>
  <mergeCells count="3">
    <mergeCell ref="B43:F51"/>
    <mergeCell ref="B6:J40"/>
    <mergeCell ref="H43:J43"/>
  </mergeCells>
  <printOptions horizontalCentered="1" verticalCentered="1"/>
  <pageMargins left="0" right="0" top="0" bottom="0" header="0" footer="0"/>
  <pageSetup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5E788-747B-4CB7-8452-E3CBCD0ACC1E}">
  <dimension ref="A1:H28"/>
  <sheetViews>
    <sheetView tabSelected="1" workbookViewId="0">
      <selection activeCell="C6" sqref="C6"/>
    </sheetView>
  </sheetViews>
  <sheetFormatPr defaultRowHeight="15" x14ac:dyDescent="0.25"/>
  <cols>
    <col min="1" max="2" width="5.7109375" customWidth="1"/>
    <col min="3" max="3" width="50.7109375" style="2" customWidth="1"/>
    <col min="4" max="4" width="5.7109375" style="2" customWidth="1"/>
    <col min="5" max="5" width="5.7109375" customWidth="1"/>
    <col min="6" max="6" width="50.7109375" style="1" customWidth="1"/>
    <col min="7" max="7" width="5.7109375" style="1" customWidth="1"/>
    <col min="8" max="8" width="5.7109375" customWidth="1"/>
  </cols>
  <sheetData>
    <row r="1" spans="1:8" ht="31.5" x14ac:dyDescent="0.5">
      <c r="A1" s="114" t="s">
        <v>438</v>
      </c>
      <c r="B1" s="115"/>
      <c r="C1" s="115"/>
      <c r="D1" s="115"/>
      <c r="E1" s="115"/>
      <c r="F1" s="115"/>
      <c r="G1" s="115"/>
      <c r="H1" s="116"/>
    </row>
    <row r="2" spans="1:8" ht="31.5" x14ac:dyDescent="0.5">
      <c r="A2" s="44"/>
      <c r="B2" s="45"/>
      <c r="C2" s="123" t="s">
        <v>451</v>
      </c>
      <c r="D2" s="123"/>
      <c r="E2" s="123"/>
      <c r="F2" s="123"/>
      <c r="G2" s="45"/>
      <c r="H2" s="46"/>
    </row>
    <row r="3" spans="1:8" ht="15" customHeight="1" thickBot="1" x14ac:dyDescent="0.55000000000000004">
      <c r="A3" s="44"/>
      <c r="B3" s="45"/>
      <c r="C3" s="45"/>
      <c r="D3" s="45"/>
      <c r="E3" s="45"/>
      <c r="F3" s="45"/>
      <c r="G3" s="45"/>
      <c r="H3" s="46"/>
    </row>
    <row r="4" spans="1:8" ht="15" customHeight="1" x14ac:dyDescent="0.25">
      <c r="A4" s="22"/>
      <c r="B4" s="17"/>
      <c r="C4" s="18"/>
      <c r="D4" s="19"/>
      <c r="E4" s="17"/>
      <c r="F4" s="20"/>
      <c r="G4" s="21"/>
      <c r="H4" s="47"/>
    </row>
    <row r="5" spans="1:8" ht="24.75" thickBot="1" x14ac:dyDescent="0.45">
      <c r="A5" s="22"/>
      <c r="B5" s="22"/>
      <c r="C5" s="48" t="s">
        <v>465</v>
      </c>
      <c r="D5" s="23"/>
      <c r="E5" s="24"/>
      <c r="F5" s="49" t="s">
        <v>440</v>
      </c>
      <c r="G5" s="25"/>
      <c r="H5" s="47"/>
    </row>
    <row r="6" spans="1:8" ht="19.5" thickBot="1" x14ac:dyDescent="0.3">
      <c r="A6" s="22"/>
      <c r="B6" s="22"/>
      <c r="C6" s="61" t="s">
        <v>61</v>
      </c>
      <c r="D6" s="39"/>
      <c r="E6" s="22"/>
      <c r="F6" s="13" t="str">
        <f>INDEX(TOWED_IMPLEMENTS!$A$3:$P$389,MATCH(RECOMMENDATIONS!$C$6,TOWED_IMPLEMENTS!$A$3:$A$389,0),3)</f>
        <v>TRACTOR_MFWD_150HP_CB</v>
      </c>
      <c r="G6" s="33"/>
      <c r="H6" s="47"/>
    </row>
    <row r="7" spans="1:8" ht="15.75" x14ac:dyDescent="0.25">
      <c r="A7" s="22"/>
      <c r="B7" s="22"/>
      <c r="C7" s="50"/>
      <c r="D7" s="40"/>
      <c r="E7" s="22"/>
      <c r="F7" s="51"/>
      <c r="G7" s="34"/>
      <c r="H7" s="47"/>
    </row>
    <row r="8" spans="1:8" ht="16.5" thickBot="1" x14ac:dyDescent="0.3">
      <c r="A8" s="22"/>
      <c r="B8" s="22"/>
      <c r="C8" s="52" t="s">
        <v>447</v>
      </c>
      <c r="D8" s="40"/>
      <c r="E8" s="22"/>
      <c r="F8" s="53" t="s">
        <v>448</v>
      </c>
      <c r="G8" s="34"/>
      <c r="H8" s="47"/>
    </row>
    <row r="9" spans="1:8" ht="16.5" thickBot="1" x14ac:dyDescent="0.3">
      <c r="A9" s="22"/>
      <c r="B9" s="22"/>
      <c r="C9" s="58">
        <f>INDEX(TOWED_IMPLEMENTS!$A$3:$P$389,MATCH(RECOMMENDATIONS!$C$6,TOWED_IMPLEMENTS!$A$3:$A$389,0),2)</f>
        <v>12.666666666666666</v>
      </c>
      <c r="D9" s="40"/>
      <c r="E9" s="22"/>
      <c r="F9" s="14">
        <f>INDEX(COMBINE_TRACTOR_UTV!$A$3:$L$38,MATCH(RECOMMENDATIONS!$F$6,COMBINE_TRACTOR_UTV!$A$3:$A$38,0),12)</f>
        <v>150</v>
      </c>
      <c r="G9" s="34"/>
      <c r="H9" s="47"/>
    </row>
    <row r="10" spans="1:8" ht="15.75" x14ac:dyDescent="0.25">
      <c r="A10" s="22"/>
      <c r="B10" s="22"/>
      <c r="C10" s="50"/>
      <c r="D10" s="40"/>
      <c r="E10" s="22"/>
      <c r="F10" s="51"/>
      <c r="G10" s="34"/>
      <c r="H10" s="47"/>
    </row>
    <row r="11" spans="1:8" ht="16.5" thickBot="1" x14ac:dyDescent="0.3">
      <c r="A11" s="22"/>
      <c r="B11" s="22"/>
      <c r="C11" s="52" t="s">
        <v>445</v>
      </c>
      <c r="D11" s="41"/>
      <c r="E11" s="22"/>
      <c r="F11" s="53" t="s">
        <v>445</v>
      </c>
      <c r="G11" s="35"/>
      <c r="H11" s="47"/>
    </row>
    <row r="12" spans="1:8" ht="16.5" thickBot="1" x14ac:dyDescent="0.3">
      <c r="A12" s="22"/>
      <c r="B12" s="22"/>
      <c r="C12" s="59">
        <f>INDEX(TOWED_IMPLEMENTS!$A$3:$P$389,MATCH(RECOMMENDATIONS!$C$6,TOWED_IMPLEMENTS!$A$3:$A$389,0),4)</f>
        <v>15700</v>
      </c>
      <c r="D12" s="42"/>
      <c r="E12" s="22"/>
      <c r="F12" s="15">
        <f>INDEX(COMBINE_TRACTOR_UTV!$A$3:$L$38,MATCH(RECOMMENDATIONS!$F$6,COMBINE_TRACTOR_UTV!$A$3:$A$38,0),2)</f>
        <v>193900</v>
      </c>
      <c r="G12" s="36"/>
      <c r="H12" s="47"/>
    </row>
    <row r="13" spans="1:8" x14ac:dyDescent="0.25">
      <c r="A13" s="22"/>
      <c r="B13" s="22"/>
      <c r="C13" s="54"/>
      <c r="D13" s="27"/>
      <c r="E13" s="22"/>
      <c r="F13" s="55"/>
      <c r="G13" s="37"/>
      <c r="H13" s="47"/>
    </row>
    <row r="14" spans="1:8" ht="16.5" thickBot="1" x14ac:dyDescent="0.3">
      <c r="A14" s="22"/>
      <c r="B14" s="22"/>
      <c r="C14" s="52" t="s">
        <v>450</v>
      </c>
      <c r="D14" s="27"/>
      <c r="E14" s="22"/>
      <c r="F14" s="53" t="s">
        <v>450</v>
      </c>
      <c r="G14" s="37"/>
      <c r="H14" s="47"/>
    </row>
    <row r="15" spans="1:8" ht="16.5" thickBot="1" x14ac:dyDescent="0.3">
      <c r="A15" s="22"/>
      <c r="B15" s="22"/>
      <c r="C15" s="60">
        <f>INDEX(TOWED_IMPLEMENTS!$A$3:$P$389,MATCH(RECOMMENDATIONS!$C$6,TOWED_IMPLEMENTS!$A$3:$A$389,0),6)</f>
        <v>10</v>
      </c>
      <c r="D15" s="27"/>
      <c r="E15" s="22"/>
      <c r="F15" s="14">
        <f>INDEX(COMBINE_TRACTOR_UTV!$A$3:$L$38,MATCH(RECOMMENDATIONS!$F$6,COMBINE_TRACTOR_UTV!$A$3:$A$38,0),4)</f>
        <v>8</v>
      </c>
      <c r="G15" s="37"/>
      <c r="H15" s="47"/>
    </row>
    <row r="16" spans="1:8" x14ac:dyDescent="0.25">
      <c r="A16" s="22"/>
      <c r="B16" s="22"/>
      <c r="C16" s="54"/>
      <c r="D16" s="27"/>
      <c r="E16" s="22"/>
      <c r="F16" s="55"/>
      <c r="G16" s="37"/>
      <c r="H16" s="47"/>
    </row>
    <row r="17" spans="1:8" ht="16.5" thickBot="1" x14ac:dyDescent="0.3">
      <c r="A17" s="22"/>
      <c r="B17" s="22"/>
      <c r="C17" s="52" t="s">
        <v>439</v>
      </c>
      <c r="D17" s="41"/>
      <c r="E17" s="22"/>
      <c r="F17" s="53" t="s">
        <v>449</v>
      </c>
      <c r="G17" s="37"/>
      <c r="H17" s="47"/>
    </row>
    <row r="18" spans="1:8" ht="16.5" thickBot="1" x14ac:dyDescent="0.3">
      <c r="A18" s="22"/>
      <c r="B18" s="22"/>
      <c r="C18" s="58">
        <f>INDEX(TOWED_IMPLEMENTS!$A$3:$P$389,MATCH(RECOMMENDATIONS!$C$6,TOWED_IMPLEMENTS!$A$3:$A$389,0),16)</f>
        <v>6.8027210884353746</v>
      </c>
      <c r="D18" s="43"/>
      <c r="E18" s="22"/>
      <c r="F18" s="16">
        <f>INDEX(COMBINE_TRACTOR_UTV!$A$3:$L$38,MATCH(RECOMMENDATIONS!$F$6,COMBINE_TRACTOR_UTV!$A$3:$A$38,0),5)</f>
        <v>7.72</v>
      </c>
      <c r="G18" s="37"/>
      <c r="H18" s="47"/>
    </row>
    <row r="19" spans="1:8" x14ac:dyDescent="0.25">
      <c r="A19" s="22"/>
      <c r="B19" s="22"/>
      <c r="C19" s="54"/>
      <c r="D19" s="27"/>
      <c r="E19" s="22"/>
      <c r="F19" s="55"/>
      <c r="G19" s="37"/>
      <c r="H19" s="47"/>
    </row>
    <row r="20" spans="1:8" ht="15.75" thickBot="1" x14ac:dyDescent="0.3">
      <c r="A20" s="22"/>
      <c r="B20" s="26"/>
      <c r="C20" s="28"/>
      <c r="D20" s="29"/>
      <c r="E20" s="26"/>
      <c r="F20" s="30"/>
      <c r="G20" s="38"/>
      <c r="H20" s="47"/>
    </row>
    <row r="21" spans="1:8" x14ac:dyDescent="0.25">
      <c r="A21" s="22"/>
      <c r="B21" s="17"/>
      <c r="C21" s="18"/>
      <c r="D21" s="18"/>
      <c r="E21" s="31"/>
      <c r="F21" s="20"/>
      <c r="G21" s="21"/>
      <c r="H21" s="47"/>
    </row>
    <row r="22" spans="1:8" ht="21" x14ac:dyDescent="0.35">
      <c r="A22" s="22"/>
      <c r="B22" s="22"/>
      <c r="C22" s="123" t="s">
        <v>446</v>
      </c>
      <c r="D22" s="123"/>
      <c r="E22" s="123"/>
      <c r="F22" s="123"/>
      <c r="G22" s="37"/>
      <c r="H22" s="47"/>
    </row>
    <row r="23" spans="1:8" ht="21" x14ac:dyDescent="0.25">
      <c r="A23" s="22"/>
      <c r="B23" s="22"/>
      <c r="C23" s="124">
        <f>INDEX(TOWED_IMPLEMENTS!$A$3:$P$389,MATCH(RECOMMENDATIONS!$C$6,TOWED_IMPLEMENTS!$A$3:$A$389,0),15)</f>
        <v>16.28</v>
      </c>
      <c r="D23" s="124"/>
      <c r="E23" s="124"/>
      <c r="F23" s="124"/>
      <c r="G23" s="37"/>
      <c r="H23" s="47"/>
    </row>
    <row r="24" spans="1:8" ht="15.75" thickBot="1" x14ac:dyDescent="0.3">
      <c r="A24" s="22"/>
      <c r="B24" s="26"/>
      <c r="C24" s="28"/>
      <c r="D24" s="28"/>
      <c r="E24" s="32"/>
      <c r="F24" s="30"/>
      <c r="G24" s="38"/>
      <c r="H24" s="47"/>
    </row>
    <row r="25" spans="1:8" x14ac:dyDescent="0.25">
      <c r="A25" s="22"/>
      <c r="B25" s="56"/>
      <c r="C25" s="54"/>
      <c r="D25" s="54"/>
      <c r="E25" s="56"/>
      <c r="F25" s="55"/>
      <c r="G25" s="55"/>
      <c r="H25" s="47"/>
    </row>
    <row r="26" spans="1:8" x14ac:dyDescent="0.25">
      <c r="A26" s="22"/>
      <c r="B26" s="56"/>
      <c r="C26" s="117" t="s">
        <v>462</v>
      </c>
      <c r="D26" s="118"/>
      <c r="E26" s="118"/>
      <c r="F26" s="119"/>
      <c r="G26" s="55"/>
      <c r="H26" s="47"/>
    </row>
    <row r="27" spans="1:8" x14ac:dyDescent="0.25">
      <c r="A27" s="22"/>
      <c r="B27" s="56"/>
      <c r="C27" s="120"/>
      <c r="D27" s="121"/>
      <c r="E27" s="121"/>
      <c r="F27" s="122"/>
      <c r="G27" s="55"/>
      <c r="H27" s="47"/>
    </row>
    <row r="28" spans="1:8" ht="15.75" thickBot="1" x14ac:dyDescent="0.3">
      <c r="A28" s="26"/>
      <c r="B28" s="32"/>
      <c r="C28" s="28"/>
      <c r="D28" s="28"/>
      <c r="E28" s="32"/>
      <c r="F28" s="30"/>
      <c r="G28" s="30"/>
      <c r="H28" s="57"/>
    </row>
  </sheetData>
  <sheetProtection algorithmName="SHA-512" hashValue="9MhQi7F0mZPi1ZMhVf5vU3QEtkVmQ+WD/VenA1+xF8PLV3LHJBDAGg2+davUiA/3vPpwnzKIzQwM4tXtXg6O6Q==" saltValue="5UsCDaOQTUc1u1Pzkbwmbg==" spinCount="100000" sheet="1" objects="1" scenarios="1"/>
  <mergeCells count="5">
    <mergeCell ref="A1:H1"/>
    <mergeCell ref="C26:F27"/>
    <mergeCell ref="C22:F22"/>
    <mergeCell ref="C2:F2"/>
    <mergeCell ref="C23:F23"/>
  </mergeCells>
  <printOptions horizontalCentered="1" verticalCentered="1"/>
  <pageMargins left="0" right="0" top="0" bottom="0" header="0" footer="0"/>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41863DA-366D-472B-8E09-655C3807F3AA}">
          <x14:formula1>
            <xm:f>TOWED_IMPLEMENTS!$A$3:$A$389</xm:f>
          </x14:formula1>
          <xm:sqref>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AECB5-3834-4203-B668-AA6BCE7D8B95}">
  <dimension ref="A1:Q389"/>
  <sheetViews>
    <sheetView workbookViewId="0">
      <selection activeCell="R4" sqref="R4"/>
    </sheetView>
  </sheetViews>
  <sheetFormatPr defaultColWidth="9.140625" defaultRowHeight="13.5" x14ac:dyDescent="0.25"/>
  <cols>
    <col min="1" max="1" width="34" style="4" bestFit="1" customWidth="1"/>
    <col min="2" max="2" width="6.42578125" style="10" bestFit="1" customWidth="1"/>
    <col min="3" max="3" width="22.85546875" style="4" bestFit="1" customWidth="1"/>
    <col min="4" max="4" width="9.42578125" style="11" bestFit="1" customWidth="1"/>
    <col min="5" max="5" width="7.7109375" style="4" bestFit="1" customWidth="1"/>
    <col min="6" max="6" width="7.140625" style="4" bestFit="1" customWidth="1"/>
    <col min="7" max="7" width="9.42578125" style="12" bestFit="1" customWidth="1"/>
    <col min="8" max="8" width="8" style="8" bestFit="1" customWidth="1"/>
    <col min="9" max="9" width="8" style="8" customWidth="1"/>
    <col min="10" max="10" width="8.28515625" style="8" bestFit="1" customWidth="1"/>
    <col min="11" max="11" width="8" style="8" bestFit="1" customWidth="1"/>
    <col min="12" max="12" width="12.28515625" style="8" bestFit="1" customWidth="1"/>
    <col min="13" max="13" width="9.28515625" style="8" bestFit="1" customWidth="1"/>
    <col min="14" max="14" width="8.42578125" style="8" bestFit="1" customWidth="1"/>
    <col min="15" max="15" width="10.85546875" style="8" bestFit="1" customWidth="1"/>
    <col min="16" max="16" width="10.140625" style="4" bestFit="1" customWidth="1"/>
    <col min="17" max="16384" width="9.140625" style="4"/>
  </cols>
  <sheetData>
    <row r="1" spans="1:17" x14ac:dyDescent="0.25">
      <c r="A1" s="3">
        <v>1</v>
      </c>
      <c r="B1" s="3">
        <v>2</v>
      </c>
      <c r="C1" s="3">
        <v>3</v>
      </c>
      <c r="D1" s="3">
        <v>4</v>
      </c>
      <c r="E1" s="3">
        <v>5</v>
      </c>
      <c r="F1" s="3">
        <v>6</v>
      </c>
      <c r="G1" s="3">
        <v>7</v>
      </c>
      <c r="H1" s="3">
        <v>8</v>
      </c>
      <c r="I1" s="3">
        <v>9</v>
      </c>
      <c r="J1" s="3">
        <v>10</v>
      </c>
      <c r="K1" s="3">
        <v>11</v>
      </c>
      <c r="L1" s="3">
        <v>12</v>
      </c>
      <c r="M1" s="3">
        <v>13</v>
      </c>
      <c r="N1" s="3">
        <v>14</v>
      </c>
      <c r="O1" s="3">
        <v>15</v>
      </c>
      <c r="P1" s="3">
        <v>16</v>
      </c>
    </row>
    <row r="2" spans="1:17" ht="40.5" x14ac:dyDescent="0.25">
      <c r="A2" s="62" t="s">
        <v>1</v>
      </c>
      <c r="B2" s="63" t="s">
        <v>49</v>
      </c>
      <c r="C2" s="62" t="s">
        <v>50</v>
      </c>
      <c r="D2" s="64" t="s">
        <v>2</v>
      </c>
      <c r="E2" s="65" t="s">
        <v>3</v>
      </c>
      <c r="F2" s="65" t="s">
        <v>51</v>
      </c>
      <c r="G2" s="66" t="s">
        <v>52</v>
      </c>
      <c r="H2" s="67" t="s">
        <v>53</v>
      </c>
      <c r="I2" s="67" t="s">
        <v>54</v>
      </c>
      <c r="J2" s="67" t="s">
        <v>55</v>
      </c>
      <c r="K2" s="67" t="s">
        <v>56</v>
      </c>
      <c r="L2" s="67" t="s">
        <v>57</v>
      </c>
      <c r="M2" s="67" t="s">
        <v>58</v>
      </c>
      <c r="N2" s="67" t="s">
        <v>59</v>
      </c>
      <c r="O2" s="67" t="s">
        <v>60</v>
      </c>
      <c r="P2" s="65" t="s">
        <v>453</v>
      </c>
    </row>
    <row r="3" spans="1:17" x14ac:dyDescent="0.25">
      <c r="A3" s="6" t="s">
        <v>13</v>
      </c>
      <c r="B3" s="68">
        <v>0</v>
      </c>
      <c r="C3" s="9" t="s">
        <v>13</v>
      </c>
      <c r="D3" s="69">
        <v>0</v>
      </c>
      <c r="E3" s="70">
        <v>0</v>
      </c>
      <c r="F3" s="70">
        <v>0</v>
      </c>
      <c r="G3" s="71">
        <v>0</v>
      </c>
      <c r="H3" s="69">
        <v>0</v>
      </c>
      <c r="I3" s="69">
        <v>0</v>
      </c>
      <c r="J3" s="69">
        <v>0</v>
      </c>
      <c r="K3" s="69">
        <v>0</v>
      </c>
      <c r="L3" s="69">
        <v>0</v>
      </c>
      <c r="M3" s="69">
        <v>0</v>
      </c>
      <c r="N3" s="69">
        <v>0</v>
      </c>
      <c r="O3" s="69">
        <v>0</v>
      </c>
      <c r="P3" s="68">
        <v>0</v>
      </c>
      <c r="Q3" s="10"/>
    </row>
    <row r="4" spans="1:17" x14ac:dyDescent="0.25">
      <c r="A4" s="72" t="s">
        <v>61</v>
      </c>
      <c r="B4" s="73">
        <f>(4*38)/12</f>
        <v>12.666666666666666</v>
      </c>
      <c r="C4" s="72" t="s">
        <v>36</v>
      </c>
      <c r="D4" s="74">
        <v>15700</v>
      </c>
      <c r="E4" s="75">
        <v>160</v>
      </c>
      <c r="F4" s="75">
        <v>10</v>
      </c>
      <c r="G4" s="76">
        <v>0.14699999999999999</v>
      </c>
      <c r="H4" s="77">
        <v>2.84</v>
      </c>
      <c r="I4" s="77">
        <v>3.35</v>
      </c>
      <c r="J4" s="77">
        <v>0.56999999999999995</v>
      </c>
      <c r="K4" s="77">
        <v>0.89</v>
      </c>
      <c r="L4" s="77">
        <v>7.67</v>
      </c>
      <c r="M4" s="77">
        <v>1.91</v>
      </c>
      <c r="N4" s="77">
        <v>6.69</v>
      </c>
      <c r="O4" s="77">
        <v>16.28</v>
      </c>
      <c r="P4" s="73">
        <f t="shared" ref="P4:P68" si="0">1/G4</f>
        <v>6.8027210884353746</v>
      </c>
      <c r="Q4" s="10"/>
    </row>
    <row r="5" spans="1:17" x14ac:dyDescent="0.25">
      <c r="A5" s="72" t="s">
        <v>62</v>
      </c>
      <c r="B5" s="73">
        <f>(6*38)/12</f>
        <v>19</v>
      </c>
      <c r="C5" s="72" t="s">
        <v>37</v>
      </c>
      <c r="D5" s="74">
        <v>29900</v>
      </c>
      <c r="E5" s="75">
        <v>160</v>
      </c>
      <c r="F5" s="75">
        <v>10</v>
      </c>
      <c r="G5" s="76">
        <v>9.8000000000000004E-2</v>
      </c>
      <c r="H5" s="77">
        <v>1.9</v>
      </c>
      <c r="I5" s="77">
        <v>2.5299999999999998</v>
      </c>
      <c r="J5" s="77">
        <v>0.73</v>
      </c>
      <c r="K5" s="77">
        <v>0.67</v>
      </c>
      <c r="L5" s="77">
        <v>5.85</v>
      </c>
      <c r="M5" s="77">
        <v>2.4300000000000002</v>
      </c>
      <c r="N5" s="77">
        <v>5.21</v>
      </c>
      <c r="O5" s="77">
        <v>13.5</v>
      </c>
      <c r="P5" s="73">
        <f t="shared" si="0"/>
        <v>10.204081632653061</v>
      </c>
      <c r="Q5" s="10"/>
    </row>
    <row r="6" spans="1:17" x14ac:dyDescent="0.25">
      <c r="A6" s="72" t="s">
        <v>63</v>
      </c>
      <c r="B6" s="73">
        <f>(8*30)/12</f>
        <v>20</v>
      </c>
      <c r="C6" s="72" t="s">
        <v>38</v>
      </c>
      <c r="D6" s="74">
        <v>33100</v>
      </c>
      <c r="E6" s="75">
        <v>160</v>
      </c>
      <c r="F6" s="75">
        <v>10</v>
      </c>
      <c r="G6" s="76">
        <v>9.2999999999999999E-2</v>
      </c>
      <c r="H6" s="77">
        <v>1.8</v>
      </c>
      <c r="I6" s="77">
        <v>2.69</v>
      </c>
      <c r="J6" s="77">
        <v>0.77</v>
      </c>
      <c r="K6" s="77">
        <v>0.82</v>
      </c>
      <c r="L6" s="77">
        <v>6.1</v>
      </c>
      <c r="M6" s="77">
        <v>2.56</v>
      </c>
      <c r="N6" s="77">
        <v>6.36</v>
      </c>
      <c r="O6" s="77">
        <v>15.03</v>
      </c>
      <c r="P6" s="73">
        <f t="shared" si="0"/>
        <v>10.75268817204301</v>
      </c>
      <c r="Q6" s="10"/>
    </row>
    <row r="7" spans="1:17" x14ac:dyDescent="0.25">
      <c r="A7" s="72" t="s">
        <v>64</v>
      </c>
      <c r="B7" s="73">
        <f>(8*38)/12</f>
        <v>25.333333333333332</v>
      </c>
      <c r="C7" s="72" t="s">
        <v>38</v>
      </c>
      <c r="D7" s="74">
        <v>114000</v>
      </c>
      <c r="E7" s="75">
        <v>160</v>
      </c>
      <c r="F7" s="75">
        <v>10</v>
      </c>
      <c r="G7" s="76">
        <v>4.9000000000000002E-2</v>
      </c>
      <c r="H7" s="77">
        <v>0.95</v>
      </c>
      <c r="I7" s="77">
        <v>1.41</v>
      </c>
      <c r="J7" s="77">
        <v>1.4</v>
      </c>
      <c r="K7" s="77">
        <v>0.43</v>
      </c>
      <c r="L7" s="77">
        <v>4.2</v>
      </c>
      <c r="M7" s="77">
        <v>4.6399999999999997</v>
      </c>
      <c r="N7" s="77">
        <v>3.35</v>
      </c>
      <c r="O7" s="77">
        <v>12.2</v>
      </c>
      <c r="P7" s="73">
        <f t="shared" si="0"/>
        <v>20.408163265306122</v>
      </c>
      <c r="Q7" s="10"/>
    </row>
    <row r="8" spans="1:17" x14ac:dyDescent="0.25">
      <c r="A8" s="72" t="s">
        <v>65</v>
      </c>
      <c r="B8" s="73">
        <f>(12*30)/12</f>
        <v>30</v>
      </c>
      <c r="C8" s="72" t="s">
        <v>39</v>
      </c>
      <c r="D8" s="74">
        <v>85400</v>
      </c>
      <c r="E8" s="75">
        <v>160</v>
      </c>
      <c r="F8" s="75">
        <v>10</v>
      </c>
      <c r="G8" s="76">
        <v>6.2E-2</v>
      </c>
      <c r="H8" s="77">
        <v>1.2</v>
      </c>
      <c r="I8" s="77">
        <v>2.12</v>
      </c>
      <c r="J8" s="77">
        <v>1.33</v>
      </c>
      <c r="K8" s="77">
        <v>0.59</v>
      </c>
      <c r="L8" s="77">
        <v>5.26</v>
      </c>
      <c r="M8" s="77">
        <v>4.4000000000000004</v>
      </c>
      <c r="N8" s="77">
        <v>4.63</v>
      </c>
      <c r="O8" s="77">
        <v>14.31</v>
      </c>
      <c r="P8" s="73">
        <f t="shared" si="0"/>
        <v>16.129032258064516</v>
      </c>
      <c r="Q8" s="10"/>
    </row>
    <row r="9" spans="1:17" x14ac:dyDescent="0.25">
      <c r="A9" s="72" t="s">
        <v>66</v>
      </c>
      <c r="B9" s="73">
        <f>(12*38)/12</f>
        <v>38</v>
      </c>
      <c r="C9" s="72" t="s">
        <v>39</v>
      </c>
      <c r="D9" s="74">
        <v>114000</v>
      </c>
      <c r="E9" s="75">
        <v>160</v>
      </c>
      <c r="F9" s="75">
        <v>10</v>
      </c>
      <c r="G9" s="76">
        <v>4.9000000000000002E-2</v>
      </c>
      <c r="H9" s="77">
        <v>0.95</v>
      </c>
      <c r="I9" s="77">
        <v>1.67</v>
      </c>
      <c r="J9" s="77">
        <v>1.4</v>
      </c>
      <c r="K9" s="77">
        <v>0.47</v>
      </c>
      <c r="L9" s="77">
        <v>4.51</v>
      </c>
      <c r="M9" s="77">
        <v>4.6399999999999997</v>
      </c>
      <c r="N9" s="77">
        <v>3.66</v>
      </c>
      <c r="O9" s="77">
        <v>12.81</v>
      </c>
      <c r="P9" s="73">
        <f t="shared" si="0"/>
        <v>20.408163265306122</v>
      </c>
    </row>
    <row r="10" spans="1:17" x14ac:dyDescent="0.25">
      <c r="A10" s="72" t="s">
        <v>67</v>
      </c>
      <c r="B10" s="73">
        <f>(16*40)/12</f>
        <v>53.333333333333336</v>
      </c>
      <c r="C10" s="72" t="s">
        <v>41</v>
      </c>
      <c r="D10" s="74">
        <v>135000</v>
      </c>
      <c r="E10" s="75">
        <v>160</v>
      </c>
      <c r="F10" s="75">
        <v>10</v>
      </c>
      <c r="G10" s="76">
        <v>3.5000000000000003E-2</v>
      </c>
      <c r="H10" s="77">
        <v>0.68</v>
      </c>
      <c r="I10" s="77">
        <v>1.6</v>
      </c>
      <c r="J10" s="77">
        <v>1.19</v>
      </c>
      <c r="K10" s="77">
        <v>0.43</v>
      </c>
      <c r="L10" s="77">
        <v>3.91</v>
      </c>
      <c r="M10" s="77">
        <v>3.94</v>
      </c>
      <c r="N10" s="77">
        <v>3.37</v>
      </c>
      <c r="O10" s="77">
        <v>11.24</v>
      </c>
      <c r="P10" s="73">
        <f t="shared" si="0"/>
        <v>28.571428571428569</v>
      </c>
    </row>
    <row r="11" spans="1:17" x14ac:dyDescent="0.25">
      <c r="A11" s="72" t="s">
        <v>68</v>
      </c>
      <c r="B11" s="73">
        <f>(8*38)/12</f>
        <v>25.333333333333332</v>
      </c>
      <c r="C11" s="72" t="s">
        <v>38</v>
      </c>
      <c r="D11" s="74">
        <v>83500</v>
      </c>
      <c r="E11" s="75">
        <v>160</v>
      </c>
      <c r="F11" s="75">
        <v>10</v>
      </c>
      <c r="G11" s="76">
        <v>7.3999999999999996E-2</v>
      </c>
      <c r="H11" s="77">
        <v>1.42</v>
      </c>
      <c r="I11" s="77">
        <v>2.13</v>
      </c>
      <c r="J11" s="77">
        <v>1.54</v>
      </c>
      <c r="K11" s="77">
        <v>0.65</v>
      </c>
      <c r="L11" s="77">
        <v>5.75</v>
      </c>
      <c r="M11" s="77">
        <v>5.1100000000000003</v>
      </c>
      <c r="N11" s="77">
        <v>5.03</v>
      </c>
      <c r="O11" s="77">
        <v>15.9</v>
      </c>
      <c r="P11" s="73">
        <f t="shared" si="0"/>
        <v>13.513513513513514</v>
      </c>
    </row>
    <row r="12" spans="1:17" x14ac:dyDescent="0.25">
      <c r="A12" s="72" t="s">
        <v>69</v>
      </c>
      <c r="B12" s="73">
        <f>(8*38)/12</f>
        <v>25.333333333333332</v>
      </c>
      <c r="C12" s="72" t="s">
        <v>38</v>
      </c>
      <c r="D12" s="74">
        <v>46800</v>
      </c>
      <c r="E12" s="75">
        <v>160</v>
      </c>
      <c r="F12" s="75">
        <v>10</v>
      </c>
      <c r="G12" s="76">
        <v>7.3999999999999996E-2</v>
      </c>
      <c r="H12" s="77">
        <v>1.42</v>
      </c>
      <c r="I12" s="77">
        <v>2.13</v>
      </c>
      <c r="J12" s="77">
        <v>0.86</v>
      </c>
      <c r="K12" s="77">
        <v>0.65</v>
      </c>
      <c r="L12" s="77">
        <v>5.07</v>
      </c>
      <c r="M12" s="77">
        <v>2.86</v>
      </c>
      <c r="N12" s="77">
        <v>5.03</v>
      </c>
      <c r="O12" s="77">
        <v>12.97</v>
      </c>
      <c r="P12" s="73">
        <f t="shared" si="0"/>
        <v>13.513513513513514</v>
      </c>
    </row>
    <row r="13" spans="1:17" x14ac:dyDescent="0.25">
      <c r="A13" s="5" t="s">
        <v>70</v>
      </c>
      <c r="B13" s="78">
        <f>(8*30)/12</f>
        <v>20</v>
      </c>
      <c r="C13" s="5" t="s">
        <v>38</v>
      </c>
      <c r="D13" s="79">
        <v>59900</v>
      </c>
      <c r="E13" s="80">
        <v>160</v>
      </c>
      <c r="F13" s="80">
        <v>10</v>
      </c>
      <c r="G13" s="81">
        <v>9.2999999999999999E-2</v>
      </c>
      <c r="H13" s="82">
        <v>1.8</v>
      </c>
      <c r="I13" s="82">
        <v>2.69</v>
      </c>
      <c r="J13" s="82">
        <v>1.4</v>
      </c>
      <c r="K13" s="82">
        <v>0.82</v>
      </c>
      <c r="L13" s="82">
        <v>6.73</v>
      </c>
      <c r="M13" s="82">
        <v>4.63</v>
      </c>
      <c r="N13" s="82">
        <v>6.36</v>
      </c>
      <c r="O13" s="82">
        <v>17.73</v>
      </c>
      <c r="P13" s="78">
        <f t="shared" si="0"/>
        <v>10.75268817204301</v>
      </c>
      <c r="Q13" s="4" t="s">
        <v>71</v>
      </c>
    </row>
    <row r="14" spans="1:17" x14ac:dyDescent="0.25">
      <c r="A14" s="5" t="s">
        <v>72</v>
      </c>
      <c r="B14" s="78">
        <f>(8*38)/12</f>
        <v>25.333333333333332</v>
      </c>
      <c r="C14" s="5" t="s">
        <v>38</v>
      </c>
      <c r="D14" s="79">
        <v>68500</v>
      </c>
      <c r="E14" s="80">
        <v>160</v>
      </c>
      <c r="F14" s="80">
        <v>10</v>
      </c>
      <c r="G14" s="81">
        <v>7.3999999999999996E-2</v>
      </c>
      <c r="H14" s="82">
        <v>1.42</v>
      </c>
      <c r="I14" s="82">
        <v>2.13</v>
      </c>
      <c r="J14" s="82">
        <v>1.26</v>
      </c>
      <c r="K14" s="82">
        <v>0.65</v>
      </c>
      <c r="L14" s="82">
        <v>5.47</v>
      </c>
      <c r="M14" s="82">
        <v>4.1900000000000004</v>
      </c>
      <c r="N14" s="82">
        <v>5.03</v>
      </c>
      <c r="O14" s="82">
        <v>14.7</v>
      </c>
      <c r="P14" s="78">
        <f t="shared" si="0"/>
        <v>13.513513513513514</v>
      </c>
    </row>
    <row r="15" spans="1:17" x14ac:dyDescent="0.25">
      <c r="A15" s="5" t="s">
        <v>73</v>
      </c>
      <c r="B15" s="78">
        <f>(12*30)/12</f>
        <v>30</v>
      </c>
      <c r="C15" s="5" t="s">
        <v>39</v>
      </c>
      <c r="D15" s="79">
        <v>113000</v>
      </c>
      <c r="E15" s="80">
        <v>160</v>
      </c>
      <c r="F15" s="80">
        <v>10</v>
      </c>
      <c r="G15" s="81">
        <v>6.2E-2</v>
      </c>
      <c r="H15" s="82">
        <v>1.2</v>
      </c>
      <c r="I15" s="82">
        <v>2.12</v>
      </c>
      <c r="J15" s="82">
        <v>1.76</v>
      </c>
      <c r="K15" s="82">
        <v>0.59</v>
      </c>
      <c r="L15" s="82">
        <v>5.69</v>
      </c>
      <c r="M15" s="82">
        <v>5.83</v>
      </c>
      <c r="N15" s="82">
        <v>4.63</v>
      </c>
      <c r="O15" s="82">
        <v>16.170000000000002</v>
      </c>
      <c r="P15" s="78">
        <f t="shared" si="0"/>
        <v>16.129032258064516</v>
      </c>
    </row>
    <row r="16" spans="1:17" x14ac:dyDescent="0.25">
      <c r="A16" s="72" t="s">
        <v>74</v>
      </c>
      <c r="B16" s="73">
        <f>(4*38)/12</f>
        <v>12.666666666666666</v>
      </c>
      <c r="C16" s="72" t="s">
        <v>36</v>
      </c>
      <c r="D16" s="74">
        <v>31900</v>
      </c>
      <c r="E16" s="75">
        <v>160</v>
      </c>
      <c r="F16" s="75">
        <v>8</v>
      </c>
      <c r="G16" s="76">
        <v>0.22800000000000001</v>
      </c>
      <c r="H16" s="77">
        <v>4.4000000000000004</v>
      </c>
      <c r="I16" s="77">
        <v>5.18</v>
      </c>
      <c r="J16" s="77">
        <v>1.7</v>
      </c>
      <c r="K16" s="77">
        <v>1.38</v>
      </c>
      <c r="L16" s="77">
        <v>12.67</v>
      </c>
      <c r="M16" s="77">
        <v>6.6</v>
      </c>
      <c r="N16" s="77">
        <v>10.36</v>
      </c>
      <c r="O16" s="77">
        <v>29.64</v>
      </c>
      <c r="P16" s="73">
        <f t="shared" si="0"/>
        <v>4.3859649122807012</v>
      </c>
    </row>
    <row r="17" spans="1:16" x14ac:dyDescent="0.25">
      <c r="A17" s="72" t="s">
        <v>75</v>
      </c>
      <c r="B17" s="73">
        <f>(6*38)/12</f>
        <v>19</v>
      </c>
      <c r="C17" s="72" t="s">
        <v>36</v>
      </c>
      <c r="D17" s="74">
        <v>36000</v>
      </c>
      <c r="E17" s="75">
        <v>160</v>
      </c>
      <c r="F17" s="75">
        <v>8</v>
      </c>
      <c r="G17" s="76">
        <v>0.12</v>
      </c>
      <c r="H17" s="77">
        <v>2.31</v>
      </c>
      <c r="I17" s="77">
        <v>2.72</v>
      </c>
      <c r="J17" s="77">
        <v>1.01</v>
      </c>
      <c r="K17" s="77">
        <v>0.72</v>
      </c>
      <c r="L17" s="77">
        <v>6.78</v>
      </c>
      <c r="M17" s="77">
        <v>3.92</v>
      </c>
      <c r="N17" s="77">
        <v>5.45</v>
      </c>
      <c r="O17" s="77">
        <v>16.16</v>
      </c>
      <c r="P17" s="73">
        <f t="shared" si="0"/>
        <v>8.3333333333333339</v>
      </c>
    </row>
    <row r="18" spans="1:16" x14ac:dyDescent="0.25">
      <c r="A18" s="72" t="s">
        <v>76</v>
      </c>
      <c r="B18" s="73">
        <f>(8*30)/12</f>
        <v>20</v>
      </c>
      <c r="C18" s="72" t="s">
        <v>38</v>
      </c>
      <c r="D18" s="74">
        <v>48300</v>
      </c>
      <c r="E18" s="75">
        <v>160</v>
      </c>
      <c r="F18" s="75">
        <v>8</v>
      </c>
      <c r="G18" s="76">
        <v>0.114</v>
      </c>
      <c r="H18" s="77">
        <v>2.2000000000000002</v>
      </c>
      <c r="I18" s="77">
        <v>3.28</v>
      </c>
      <c r="J18" s="77">
        <v>1.29</v>
      </c>
      <c r="K18" s="77">
        <v>1</v>
      </c>
      <c r="L18" s="77">
        <v>7.78</v>
      </c>
      <c r="M18" s="77">
        <v>4.99</v>
      </c>
      <c r="N18" s="77">
        <v>7.75</v>
      </c>
      <c r="O18" s="77">
        <v>20.53</v>
      </c>
      <c r="P18" s="73">
        <f t="shared" si="0"/>
        <v>8.7719298245614024</v>
      </c>
    </row>
    <row r="19" spans="1:16" x14ac:dyDescent="0.25">
      <c r="A19" s="72" t="s">
        <v>77</v>
      </c>
      <c r="B19" s="73">
        <f>(8*38)/12</f>
        <v>25.333333333333332</v>
      </c>
      <c r="C19" s="72" t="s">
        <v>38</v>
      </c>
      <c r="D19" s="74">
        <v>48700</v>
      </c>
      <c r="E19" s="75">
        <v>160</v>
      </c>
      <c r="F19" s="75">
        <v>8</v>
      </c>
      <c r="G19" s="76">
        <v>0.09</v>
      </c>
      <c r="H19" s="77">
        <v>1.74</v>
      </c>
      <c r="I19" s="77">
        <v>2.59</v>
      </c>
      <c r="J19" s="77">
        <v>1.03</v>
      </c>
      <c r="K19" s="77">
        <v>0.79</v>
      </c>
      <c r="L19" s="77">
        <v>6.15</v>
      </c>
      <c r="M19" s="77">
        <v>3.98</v>
      </c>
      <c r="N19" s="77">
        <v>6.13</v>
      </c>
      <c r="O19" s="77">
        <v>16.27</v>
      </c>
      <c r="P19" s="73">
        <f t="shared" si="0"/>
        <v>11.111111111111111</v>
      </c>
    </row>
    <row r="20" spans="1:16" x14ac:dyDescent="0.25">
      <c r="A20" s="72" t="s">
        <v>78</v>
      </c>
      <c r="B20" s="73">
        <f>(8*38)/12</f>
        <v>25.333333333333332</v>
      </c>
      <c r="C20" s="72" t="s">
        <v>38</v>
      </c>
      <c r="D20" s="74">
        <v>81500</v>
      </c>
      <c r="E20" s="75">
        <v>160</v>
      </c>
      <c r="F20" s="75">
        <v>8</v>
      </c>
      <c r="G20" s="76">
        <v>0.06</v>
      </c>
      <c r="H20" s="77">
        <v>1.1499999999999999</v>
      </c>
      <c r="I20" s="77">
        <v>1.72</v>
      </c>
      <c r="J20" s="77">
        <v>1.1399999999999999</v>
      </c>
      <c r="K20" s="77">
        <v>0.52</v>
      </c>
      <c r="L20" s="77">
        <v>4.5599999999999996</v>
      </c>
      <c r="M20" s="77">
        <v>4.43</v>
      </c>
      <c r="N20" s="77">
        <v>4.08</v>
      </c>
      <c r="O20" s="77">
        <v>13.08</v>
      </c>
      <c r="P20" s="73">
        <f t="shared" si="0"/>
        <v>16.666666666666668</v>
      </c>
    </row>
    <row r="21" spans="1:16" x14ac:dyDescent="0.25">
      <c r="A21" s="72" t="s">
        <v>79</v>
      </c>
      <c r="B21" s="73">
        <f>(12*38)/12</f>
        <v>38</v>
      </c>
      <c r="C21" s="72" t="s">
        <v>39</v>
      </c>
      <c r="D21" s="74">
        <v>81500</v>
      </c>
      <c r="E21" s="75">
        <v>160</v>
      </c>
      <c r="F21" s="75">
        <v>8</v>
      </c>
      <c r="G21" s="76">
        <v>0.06</v>
      </c>
      <c r="H21" s="77">
        <v>1.1499999999999999</v>
      </c>
      <c r="I21" s="77">
        <v>2.04</v>
      </c>
      <c r="J21" s="77">
        <v>1.1399999999999999</v>
      </c>
      <c r="K21" s="77">
        <v>0.56999999999999995</v>
      </c>
      <c r="L21" s="77">
        <v>4.92</v>
      </c>
      <c r="M21" s="77">
        <v>4.43</v>
      </c>
      <c r="N21" s="77">
        <v>4.45</v>
      </c>
      <c r="O21" s="77">
        <v>13.82</v>
      </c>
      <c r="P21" s="73">
        <f t="shared" si="0"/>
        <v>16.666666666666668</v>
      </c>
    </row>
    <row r="22" spans="1:16" x14ac:dyDescent="0.25">
      <c r="A22" s="72" t="s">
        <v>80</v>
      </c>
      <c r="B22" s="73">
        <f>(16*30)/12</f>
        <v>40</v>
      </c>
      <c r="C22" s="72" t="s">
        <v>39</v>
      </c>
      <c r="D22" s="74">
        <v>94300</v>
      </c>
      <c r="E22" s="75">
        <v>160</v>
      </c>
      <c r="F22" s="75">
        <v>8</v>
      </c>
      <c r="G22" s="76">
        <v>3.5000000000000003E-2</v>
      </c>
      <c r="H22" s="77">
        <v>0.67</v>
      </c>
      <c r="I22" s="77">
        <v>1.19</v>
      </c>
      <c r="J22" s="77">
        <v>0.77</v>
      </c>
      <c r="K22" s="77">
        <v>0.33</v>
      </c>
      <c r="L22" s="77">
        <v>2.98</v>
      </c>
      <c r="M22" s="77">
        <v>3</v>
      </c>
      <c r="N22" s="77">
        <v>2.6</v>
      </c>
      <c r="O22" s="77">
        <v>8.59</v>
      </c>
      <c r="P22" s="73">
        <f t="shared" si="0"/>
        <v>28.571428571428569</v>
      </c>
    </row>
    <row r="23" spans="1:16" x14ac:dyDescent="0.25">
      <c r="A23" s="72" t="s">
        <v>81</v>
      </c>
      <c r="B23" s="73">
        <f>(16*40)/12</f>
        <v>53.333333333333336</v>
      </c>
      <c r="C23" s="72" t="s">
        <v>41</v>
      </c>
      <c r="D23" s="74">
        <v>99200</v>
      </c>
      <c r="E23" s="75">
        <v>160</v>
      </c>
      <c r="F23" s="75">
        <v>8</v>
      </c>
      <c r="G23" s="76">
        <v>4.2999999999999997E-2</v>
      </c>
      <c r="H23" s="77">
        <v>0.83</v>
      </c>
      <c r="I23" s="77">
        <v>1.95</v>
      </c>
      <c r="J23" s="77">
        <v>1</v>
      </c>
      <c r="K23" s="77">
        <v>0.53</v>
      </c>
      <c r="L23" s="77">
        <v>4.32</v>
      </c>
      <c r="M23" s="77">
        <v>3.87</v>
      </c>
      <c r="N23" s="77">
        <v>4.1100000000000003</v>
      </c>
      <c r="O23" s="77">
        <v>12.3</v>
      </c>
      <c r="P23" s="73">
        <f t="shared" si="0"/>
        <v>23.255813953488374</v>
      </c>
    </row>
    <row r="24" spans="1:16" x14ac:dyDescent="0.25">
      <c r="A24" s="72" t="s">
        <v>82</v>
      </c>
      <c r="B24" s="73">
        <f>(8*38)/12</f>
        <v>25.333333333333332</v>
      </c>
      <c r="C24" s="72" t="s">
        <v>38</v>
      </c>
      <c r="D24" s="74">
        <v>31400</v>
      </c>
      <c r="E24" s="75">
        <v>160</v>
      </c>
      <c r="F24" s="75">
        <v>10</v>
      </c>
      <c r="G24" s="76">
        <v>9.5000000000000001E-2</v>
      </c>
      <c r="H24" s="77">
        <v>1.84</v>
      </c>
      <c r="I24" s="77">
        <v>2.75</v>
      </c>
      <c r="J24" s="77">
        <v>0.75</v>
      </c>
      <c r="K24" s="77">
        <v>0.84</v>
      </c>
      <c r="L24" s="77">
        <v>6.2</v>
      </c>
      <c r="M24" s="77">
        <v>2.48</v>
      </c>
      <c r="N24" s="77">
        <v>6.51</v>
      </c>
      <c r="O24" s="77">
        <v>15.2</v>
      </c>
      <c r="P24" s="73">
        <f t="shared" si="0"/>
        <v>10.526315789473685</v>
      </c>
    </row>
    <row r="25" spans="1:16" x14ac:dyDescent="0.25">
      <c r="A25" s="72" t="s">
        <v>83</v>
      </c>
      <c r="B25" s="73">
        <f>(12*30)/12</f>
        <v>30</v>
      </c>
      <c r="C25" s="72" t="s">
        <v>39</v>
      </c>
      <c r="D25" s="74">
        <v>37800</v>
      </c>
      <c r="E25" s="75">
        <v>160</v>
      </c>
      <c r="F25" s="75">
        <v>10</v>
      </c>
      <c r="G25" s="76">
        <v>0.08</v>
      </c>
      <c r="H25" s="77">
        <v>1.55</v>
      </c>
      <c r="I25" s="77">
        <v>2.75</v>
      </c>
      <c r="J25" s="77">
        <v>0.76</v>
      </c>
      <c r="K25" s="77">
        <v>0.77</v>
      </c>
      <c r="L25" s="77">
        <v>5.85</v>
      </c>
      <c r="M25" s="77">
        <v>2.52</v>
      </c>
      <c r="N25" s="77">
        <v>6</v>
      </c>
      <c r="O25" s="77">
        <v>14.38</v>
      </c>
      <c r="P25" s="73">
        <f t="shared" si="0"/>
        <v>12.5</v>
      </c>
    </row>
    <row r="26" spans="1:16" x14ac:dyDescent="0.25">
      <c r="A26" s="72" t="s">
        <v>84</v>
      </c>
      <c r="B26" s="73">
        <f>(12*38)/12</f>
        <v>38</v>
      </c>
      <c r="C26" s="72" t="s">
        <v>39</v>
      </c>
      <c r="D26" s="74">
        <v>60900</v>
      </c>
      <c r="E26" s="75">
        <v>160</v>
      </c>
      <c r="F26" s="75">
        <v>10</v>
      </c>
      <c r="G26" s="76">
        <v>6.3E-2</v>
      </c>
      <c r="H26" s="77">
        <v>1.23</v>
      </c>
      <c r="I26" s="77">
        <v>2.17</v>
      </c>
      <c r="J26" s="77">
        <v>0.97</v>
      </c>
      <c r="K26" s="77">
        <v>0.61</v>
      </c>
      <c r="L26" s="77">
        <v>4.9800000000000004</v>
      </c>
      <c r="M26" s="77">
        <v>3.21</v>
      </c>
      <c r="N26" s="77">
        <v>4.7300000000000004</v>
      </c>
      <c r="O26" s="77">
        <v>12.93</v>
      </c>
      <c r="P26" s="73">
        <f t="shared" si="0"/>
        <v>15.873015873015873</v>
      </c>
    </row>
    <row r="27" spans="1:16" x14ac:dyDescent="0.25">
      <c r="A27" s="72" t="s">
        <v>85</v>
      </c>
      <c r="B27" s="73">
        <f>(16*30)/12</f>
        <v>40</v>
      </c>
      <c r="C27" s="72" t="s">
        <v>39</v>
      </c>
      <c r="D27" s="74">
        <v>79500</v>
      </c>
      <c r="E27" s="75">
        <v>160</v>
      </c>
      <c r="F27" s="75">
        <v>10</v>
      </c>
      <c r="G27" s="76">
        <v>0.06</v>
      </c>
      <c r="H27" s="77">
        <v>1.1599999999999999</v>
      </c>
      <c r="I27" s="77">
        <v>2.06</v>
      </c>
      <c r="J27" s="77">
        <v>1.2</v>
      </c>
      <c r="K27" s="77">
        <v>0.57999999999999996</v>
      </c>
      <c r="L27" s="77">
        <v>5.0199999999999996</v>
      </c>
      <c r="M27" s="77">
        <v>3.98</v>
      </c>
      <c r="N27" s="77">
        <v>4.5</v>
      </c>
      <c r="O27" s="77">
        <v>13.5</v>
      </c>
      <c r="P27" s="73">
        <f t="shared" si="0"/>
        <v>16.666666666666668</v>
      </c>
    </row>
    <row r="28" spans="1:16" x14ac:dyDescent="0.25">
      <c r="A28" s="72" t="s">
        <v>86</v>
      </c>
      <c r="B28" s="73">
        <f>(8*38)/12</f>
        <v>25.333333333333332</v>
      </c>
      <c r="C28" s="72" t="s">
        <v>38</v>
      </c>
      <c r="D28" s="74">
        <v>25000</v>
      </c>
      <c r="E28" s="75">
        <v>160</v>
      </c>
      <c r="F28" s="75">
        <v>10</v>
      </c>
      <c r="G28" s="76">
        <v>9.5000000000000001E-2</v>
      </c>
      <c r="H28" s="77">
        <v>1.84</v>
      </c>
      <c r="I28" s="77">
        <v>2.75</v>
      </c>
      <c r="J28" s="77">
        <v>0.59</v>
      </c>
      <c r="K28" s="77">
        <v>0.84</v>
      </c>
      <c r="L28" s="77">
        <v>6.04</v>
      </c>
      <c r="M28" s="77">
        <v>1.98</v>
      </c>
      <c r="N28" s="77">
        <v>6.51</v>
      </c>
      <c r="O28" s="77">
        <v>14.54</v>
      </c>
      <c r="P28" s="73">
        <f t="shared" si="0"/>
        <v>10.526315789473685</v>
      </c>
    </row>
    <row r="29" spans="1:16" x14ac:dyDescent="0.25">
      <c r="A29" s="5" t="s">
        <v>87</v>
      </c>
      <c r="B29" s="78">
        <f>(4*30)/12</f>
        <v>10</v>
      </c>
      <c r="C29" s="5" t="s">
        <v>39</v>
      </c>
      <c r="D29" s="79">
        <v>27800</v>
      </c>
      <c r="E29" s="80">
        <v>150</v>
      </c>
      <c r="F29" s="80">
        <v>12</v>
      </c>
      <c r="G29" s="81">
        <v>0.20399999999999999</v>
      </c>
      <c r="H29" s="82">
        <v>3.93</v>
      </c>
      <c r="I29" s="82">
        <v>6.95</v>
      </c>
      <c r="J29" s="82">
        <v>2.0499999999999998</v>
      </c>
      <c r="K29" s="82">
        <v>1.96</v>
      </c>
      <c r="L29" s="82">
        <v>14.9</v>
      </c>
      <c r="M29" s="82">
        <v>4.57</v>
      </c>
      <c r="N29" s="82">
        <v>15.16</v>
      </c>
      <c r="O29" s="82">
        <v>34.64</v>
      </c>
      <c r="P29" s="78">
        <f t="shared" si="0"/>
        <v>4.9019607843137258</v>
      </c>
    </row>
    <row r="30" spans="1:16" x14ac:dyDescent="0.25">
      <c r="A30" s="5" t="s">
        <v>88</v>
      </c>
      <c r="B30" s="78">
        <f>(4*38)/12</f>
        <v>12.666666666666666</v>
      </c>
      <c r="C30" s="5" t="s">
        <v>39</v>
      </c>
      <c r="D30" s="79">
        <v>27800</v>
      </c>
      <c r="E30" s="80">
        <v>150</v>
      </c>
      <c r="F30" s="80">
        <v>12</v>
      </c>
      <c r="G30" s="81">
        <v>0.16</v>
      </c>
      <c r="H30" s="82">
        <v>3.1</v>
      </c>
      <c r="I30" s="82">
        <v>5.47</v>
      </c>
      <c r="J30" s="82">
        <v>1.61</v>
      </c>
      <c r="K30" s="82">
        <v>1.54</v>
      </c>
      <c r="L30" s="82">
        <v>11.73</v>
      </c>
      <c r="M30" s="82">
        <v>3.6</v>
      </c>
      <c r="N30" s="82">
        <v>11.93</v>
      </c>
      <c r="O30" s="82">
        <v>27.27</v>
      </c>
      <c r="P30" s="78">
        <f t="shared" si="0"/>
        <v>6.25</v>
      </c>
    </row>
    <row r="31" spans="1:16" x14ac:dyDescent="0.25">
      <c r="A31" s="5" t="s">
        <v>89</v>
      </c>
      <c r="B31" s="78">
        <f>(6*38)/12</f>
        <v>19</v>
      </c>
      <c r="C31" s="5" t="s">
        <v>39</v>
      </c>
      <c r="D31" s="79">
        <v>38000</v>
      </c>
      <c r="E31" s="80">
        <v>150</v>
      </c>
      <c r="F31" s="80">
        <v>12</v>
      </c>
      <c r="G31" s="81">
        <v>0.107</v>
      </c>
      <c r="H31" s="82">
        <v>2.0699999999999998</v>
      </c>
      <c r="I31" s="82">
        <v>3.66</v>
      </c>
      <c r="J31" s="82">
        <v>1.47</v>
      </c>
      <c r="K31" s="82">
        <v>1.03</v>
      </c>
      <c r="L31" s="82">
        <v>8.24</v>
      </c>
      <c r="M31" s="82">
        <v>3.29</v>
      </c>
      <c r="N31" s="82">
        <v>7.97</v>
      </c>
      <c r="O31" s="82">
        <v>19.510000000000002</v>
      </c>
      <c r="P31" s="78">
        <f t="shared" si="0"/>
        <v>9.3457943925233646</v>
      </c>
    </row>
    <row r="32" spans="1:16" x14ac:dyDescent="0.25">
      <c r="A32" s="72" t="s">
        <v>90</v>
      </c>
      <c r="B32" s="73">
        <f>(6*38)/12</f>
        <v>19</v>
      </c>
      <c r="C32" s="72" t="s">
        <v>39</v>
      </c>
      <c r="D32" s="74">
        <v>44500</v>
      </c>
      <c r="E32" s="75">
        <v>150</v>
      </c>
      <c r="F32" s="75">
        <v>12</v>
      </c>
      <c r="G32" s="76">
        <v>0.107</v>
      </c>
      <c r="H32" s="77">
        <v>2.0699999999999998</v>
      </c>
      <c r="I32" s="77">
        <v>3.66</v>
      </c>
      <c r="J32" s="77">
        <v>1.72</v>
      </c>
      <c r="K32" s="77">
        <v>1.03</v>
      </c>
      <c r="L32" s="77">
        <v>8.49</v>
      </c>
      <c r="M32" s="77">
        <v>3.85</v>
      </c>
      <c r="N32" s="77">
        <v>7.97</v>
      </c>
      <c r="O32" s="77">
        <v>20.32</v>
      </c>
      <c r="P32" s="73">
        <f t="shared" si="0"/>
        <v>9.3457943925233646</v>
      </c>
    </row>
    <row r="33" spans="1:16" x14ac:dyDescent="0.25">
      <c r="A33" s="72" t="s">
        <v>91</v>
      </c>
      <c r="B33" s="73">
        <f>(8*38)/12</f>
        <v>25.333333333333332</v>
      </c>
      <c r="C33" s="72" t="s">
        <v>39</v>
      </c>
      <c r="D33" s="74">
        <v>59000</v>
      </c>
      <c r="E33" s="75">
        <v>150</v>
      </c>
      <c r="F33" s="75">
        <v>12</v>
      </c>
      <c r="G33" s="76">
        <v>0.08</v>
      </c>
      <c r="H33" s="77">
        <v>1.55</v>
      </c>
      <c r="I33" s="77">
        <v>2.74</v>
      </c>
      <c r="J33" s="77">
        <v>1.72</v>
      </c>
      <c r="K33" s="77">
        <v>0.77</v>
      </c>
      <c r="L33" s="77">
        <v>6.8</v>
      </c>
      <c r="M33" s="77">
        <v>3.83</v>
      </c>
      <c r="N33" s="77">
        <v>5.99</v>
      </c>
      <c r="O33" s="77">
        <v>16.63</v>
      </c>
      <c r="P33" s="73">
        <f t="shared" si="0"/>
        <v>12.5</v>
      </c>
    </row>
    <row r="34" spans="1:16" x14ac:dyDescent="0.25">
      <c r="A34" s="72" t="s">
        <v>92</v>
      </c>
      <c r="B34" s="73">
        <f>(8*38)/12</f>
        <v>25.333333333333332</v>
      </c>
      <c r="C34" s="72" t="s">
        <v>38</v>
      </c>
      <c r="D34" s="74">
        <v>72400</v>
      </c>
      <c r="E34" s="75">
        <v>300</v>
      </c>
      <c r="F34" s="75">
        <v>20</v>
      </c>
      <c r="G34" s="76">
        <v>7.2999999999999995E-2</v>
      </c>
      <c r="H34" s="77">
        <v>1.4</v>
      </c>
      <c r="I34" s="77">
        <v>2.1</v>
      </c>
      <c r="J34" s="77">
        <v>0.26</v>
      </c>
      <c r="K34" s="77">
        <v>0.64</v>
      </c>
      <c r="L34" s="77">
        <v>4.41</v>
      </c>
      <c r="M34" s="77">
        <v>1.75</v>
      </c>
      <c r="N34" s="77">
        <v>4.96</v>
      </c>
      <c r="O34" s="77">
        <v>11.13</v>
      </c>
      <c r="P34" s="73">
        <f t="shared" si="0"/>
        <v>13.698630136986303</v>
      </c>
    </row>
    <row r="35" spans="1:16" x14ac:dyDescent="0.25">
      <c r="A35" s="72" t="s">
        <v>93</v>
      </c>
      <c r="B35" s="73">
        <f>(12*30)/12</f>
        <v>30</v>
      </c>
      <c r="C35" s="72" t="s">
        <v>39</v>
      </c>
      <c r="D35" s="74">
        <v>102000</v>
      </c>
      <c r="E35" s="75">
        <v>300</v>
      </c>
      <c r="F35" s="75">
        <v>20</v>
      </c>
      <c r="G35" s="76">
        <v>6.0999999999999999E-2</v>
      </c>
      <c r="H35" s="77">
        <v>1.18</v>
      </c>
      <c r="I35" s="77">
        <v>2.09</v>
      </c>
      <c r="J35" s="77">
        <v>0.31</v>
      </c>
      <c r="K35" s="77">
        <v>0.59</v>
      </c>
      <c r="L35" s="77">
        <v>4.1900000000000004</v>
      </c>
      <c r="M35" s="77">
        <v>2.08</v>
      </c>
      <c r="N35" s="77">
        <v>4.57</v>
      </c>
      <c r="O35" s="77">
        <v>10.84</v>
      </c>
      <c r="P35" s="73">
        <f t="shared" si="0"/>
        <v>16.393442622950818</v>
      </c>
    </row>
    <row r="36" spans="1:16" x14ac:dyDescent="0.25">
      <c r="A36" s="72" t="s">
        <v>94</v>
      </c>
      <c r="B36" s="73">
        <f>(12*38)/12</f>
        <v>38</v>
      </c>
      <c r="C36" s="72" t="s">
        <v>39</v>
      </c>
      <c r="D36" s="74">
        <v>102000</v>
      </c>
      <c r="E36" s="75">
        <v>300</v>
      </c>
      <c r="F36" s="75">
        <v>20</v>
      </c>
      <c r="G36" s="76">
        <v>4.5999999999999999E-2</v>
      </c>
      <c r="H36" s="77">
        <v>0.89</v>
      </c>
      <c r="I36" s="77">
        <v>1.57</v>
      </c>
      <c r="J36" s="77">
        <v>0.23</v>
      </c>
      <c r="K36" s="77">
        <v>0.44</v>
      </c>
      <c r="L36" s="77">
        <v>3.14</v>
      </c>
      <c r="M36" s="77">
        <v>1.56</v>
      </c>
      <c r="N36" s="77">
        <v>3.42</v>
      </c>
      <c r="O36" s="77">
        <v>8.1300000000000008</v>
      </c>
      <c r="P36" s="73">
        <f t="shared" si="0"/>
        <v>21.739130434782609</v>
      </c>
    </row>
    <row r="37" spans="1:16" x14ac:dyDescent="0.25">
      <c r="A37" s="72" t="s">
        <v>95</v>
      </c>
      <c r="B37" s="73">
        <f>(4*30)/12</f>
        <v>10</v>
      </c>
      <c r="C37" s="72" t="s">
        <v>38</v>
      </c>
      <c r="D37" s="74">
        <v>32100</v>
      </c>
      <c r="E37" s="75">
        <v>300</v>
      </c>
      <c r="F37" s="75">
        <v>20</v>
      </c>
      <c r="G37" s="76">
        <v>0.184</v>
      </c>
      <c r="H37" s="77">
        <v>3.56</v>
      </c>
      <c r="I37" s="77">
        <v>5.31</v>
      </c>
      <c r="J37" s="77">
        <v>0.28999999999999998</v>
      </c>
      <c r="K37" s="77">
        <v>1.62</v>
      </c>
      <c r="L37" s="77">
        <v>10.79</v>
      </c>
      <c r="M37" s="77">
        <v>1.96</v>
      </c>
      <c r="N37" s="77">
        <v>12.55</v>
      </c>
      <c r="O37" s="77">
        <v>25.32</v>
      </c>
      <c r="P37" s="73">
        <f t="shared" si="0"/>
        <v>5.4347826086956523</v>
      </c>
    </row>
    <row r="38" spans="1:16" x14ac:dyDescent="0.25">
      <c r="A38" s="72" t="s">
        <v>96</v>
      </c>
      <c r="B38" s="73">
        <f>(4*38)/12</f>
        <v>12.666666666666666</v>
      </c>
      <c r="C38" s="72" t="s">
        <v>38</v>
      </c>
      <c r="D38" s="74">
        <v>32100</v>
      </c>
      <c r="E38" s="75">
        <v>300</v>
      </c>
      <c r="F38" s="75">
        <v>20</v>
      </c>
      <c r="G38" s="76">
        <v>0.14599999999999999</v>
      </c>
      <c r="H38" s="77">
        <v>2.82</v>
      </c>
      <c r="I38" s="77">
        <v>4.21</v>
      </c>
      <c r="J38" s="77">
        <v>0.23</v>
      </c>
      <c r="K38" s="77">
        <v>1.28</v>
      </c>
      <c r="L38" s="77">
        <v>8.57</v>
      </c>
      <c r="M38" s="77">
        <v>1.56</v>
      </c>
      <c r="N38" s="77">
        <v>9.9600000000000009</v>
      </c>
      <c r="O38" s="77">
        <v>20.09</v>
      </c>
      <c r="P38" s="73">
        <f t="shared" si="0"/>
        <v>6.8493150684931514</v>
      </c>
    </row>
    <row r="39" spans="1:16" x14ac:dyDescent="0.25">
      <c r="A39" s="72" t="s">
        <v>97</v>
      </c>
      <c r="B39" s="73">
        <f>(6*30)/12</f>
        <v>15</v>
      </c>
      <c r="C39" s="72" t="s">
        <v>38</v>
      </c>
      <c r="D39" s="74">
        <v>44500</v>
      </c>
      <c r="E39" s="75">
        <v>300</v>
      </c>
      <c r="F39" s="75">
        <v>20</v>
      </c>
      <c r="G39" s="76">
        <v>0.123</v>
      </c>
      <c r="H39" s="77">
        <v>2.37</v>
      </c>
      <c r="I39" s="77">
        <v>3.54</v>
      </c>
      <c r="J39" s="77">
        <v>0.27</v>
      </c>
      <c r="K39" s="77">
        <v>1.08</v>
      </c>
      <c r="L39" s="77">
        <v>7.27</v>
      </c>
      <c r="M39" s="77">
        <v>1.81</v>
      </c>
      <c r="N39" s="77">
        <v>8.3699999999999992</v>
      </c>
      <c r="O39" s="77">
        <v>17.46</v>
      </c>
      <c r="P39" s="73">
        <f t="shared" si="0"/>
        <v>8.1300813008130088</v>
      </c>
    </row>
    <row r="40" spans="1:16" x14ac:dyDescent="0.25">
      <c r="A40" s="72" t="s">
        <v>454</v>
      </c>
      <c r="B40" s="73">
        <f>(6*38)/12</f>
        <v>19</v>
      </c>
      <c r="C40" s="72" t="s">
        <v>38</v>
      </c>
      <c r="D40" s="74">
        <v>44500</v>
      </c>
      <c r="E40" s="75">
        <v>300</v>
      </c>
      <c r="F40" s="75">
        <v>20</v>
      </c>
      <c r="G40" s="76">
        <v>9.7000000000000003E-2</v>
      </c>
      <c r="H40" s="77">
        <v>1.87</v>
      </c>
      <c r="I40" s="77">
        <v>2.79</v>
      </c>
      <c r="J40" s="77">
        <v>0.21</v>
      </c>
      <c r="K40" s="77">
        <v>0.85</v>
      </c>
      <c r="L40" s="77">
        <v>5.74</v>
      </c>
      <c r="M40" s="77">
        <v>1.43</v>
      </c>
      <c r="N40" s="77">
        <v>6.6</v>
      </c>
      <c r="O40" s="77">
        <v>13.78</v>
      </c>
      <c r="P40" s="73">
        <f t="shared" si="0"/>
        <v>10.309278350515463</v>
      </c>
    </row>
    <row r="41" spans="1:16" x14ac:dyDescent="0.25">
      <c r="A41" s="72" t="s">
        <v>98</v>
      </c>
      <c r="B41" s="73">
        <f>(8*30)/12</f>
        <v>20</v>
      </c>
      <c r="C41" s="72" t="s">
        <v>38</v>
      </c>
      <c r="D41" s="74">
        <v>59000</v>
      </c>
      <c r="E41" s="75">
        <v>300</v>
      </c>
      <c r="F41" s="75">
        <v>20</v>
      </c>
      <c r="G41" s="76">
        <v>0.13900000000000001</v>
      </c>
      <c r="H41" s="77">
        <v>2.67</v>
      </c>
      <c r="I41" s="77">
        <v>3.99</v>
      </c>
      <c r="J41" s="77">
        <v>0.41</v>
      </c>
      <c r="K41" s="77">
        <v>1.22</v>
      </c>
      <c r="L41" s="77">
        <v>8.3000000000000007</v>
      </c>
      <c r="M41" s="77">
        <v>2.71</v>
      </c>
      <c r="N41" s="77">
        <v>9.44</v>
      </c>
      <c r="O41" s="77">
        <v>20.46</v>
      </c>
      <c r="P41" s="73">
        <f t="shared" si="0"/>
        <v>7.1942446043165464</v>
      </c>
    </row>
    <row r="42" spans="1:16" x14ac:dyDescent="0.25">
      <c r="A42" s="72" t="s">
        <v>99</v>
      </c>
      <c r="B42" s="73">
        <f>(8*38)/12</f>
        <v>25.333333333333332</v>
      </c>
      <c r="C42" s="72" t="s">
        <v>38</v>
      </c>
      <c r="D42" s="74">
        <v>59000</v>
      </c>
      <c r="E42" s="75">
        <v>300</v>
      </c>
      <c r="F42" s="75">
        <v>20</v>
      </c>
      <c r="G42" s="76">
        <v>7.2999999999999995E-2</v>
      </c>
      <c r="H42" s="77">
        <v>1.4</v>
      </c>
      <c r="I42" s="77">
        <v>2.1</v>
      </c>
      <c r="J42" s="77">
        <v>0.21</v>
      </c>
      <c r="K42" s="77">
        <v>0.64</v>
      </c>
      <c r="L42" s="77">
        <v>4.3600000000000003</v>
      </c>
      <c r="M42" s="77">
        <v>1.42</v>
      </c>
      <c r="N42" s="77">
        <v>4.96</v>
      </c>
      <c r="O42" s="77">
        <v>10.75</v>
      </c>
      <c r="P42" s="73">
        <f t="shared" si="0"/>
        <v>13.698630136986303</v>
      </c>
    </row>
    <row r="43" spans="1:16" x14ac:dyDescent="0.25">
      <c r="A43" s="5" t="s">
        <v>100</v>
      </c>
      <c r="B43" s="78">
        <f>(8*38)/12</f>
        <v>25.333333333333332</v>
      </c>
      <c r="C43" s="5" t="s">
        <v>39</v>
      </c>
      <c r="D43" s="79">
        <v>72400</v>
      </c>
      <c r="E43" s="80">
        <v>150</v>
      </c>
      <c r="F43" s="80">
        <v>12</v>
      </c>
      <c r="G43" s="81">
        <v>0.08</v>
      </c>
      <c r="H43" s="82">
        <v>1.55</v>
      </c>
      <c r="I43" s="82">
        <v>2.74</v>
      </c>
      <c r="J43" s="82">
        <v>2.11</v>
      </c>
      <c r="K43" s="82">
        <v>0.77</v>
      </c>
      <c r="L43" s="82">
        <v>7.19</v>
      </c>
      <c r="M43" s="82">
        <v>4.7</v>
      </c>
      <c r="N43" s="82">
        <v>5.99</v>
      </c>
      <c r="O43" s="82">
        <v>17.89</v>
      </c>
      <c r="P43" s="78">
        <f t="shared" si="0"/>
        <v>12.5</v>
      </c>
    </row>
    <row r="44" spans="1:16" x14ac:dyDescent="0.25">
      <c r="A44" s="5" t="s">
        <v>101</v>
      </c>
      <c r="B44" s="78">
        <f>(8*38)/12</f>
        <v>25.333333333333332</v>
      </c>
      <c r="C44" s="5" t="s">
        <v>39</v>
      </c>
      <c r="D44" s="79">
        <v>102600</v>
      </c>
      <c r="E44" s="80">
        <v>150</v>
      </c>
      <c r="F44" s="80">
        <v>12</v>
      </c>
      <c r="G44" s="81">
        <v>5.2999999999999999E-2</v>
      </c>
      <c r="H44" s="82">
        <v>1.03</v>
      </c>
      <c r="I44" s="82">
        <v>1.83</v>
      </c>
      <c r="J44" s="82">
        <v>1.99</v>
      </c>
      <c r="K44" s="82">
        <v>0.51</v>
      </c>
      <c r="L44" s="82">
        <v>5.37</v>
      </c>
      <c r="M44" s="82">
        <v>4.4400000000000004</v>
      </c>
      <c r="N44" s="82">
        <v>3.98</v>
      </c>
      <c r="O44" s="82">
        <v>13.8</v>
      </c>
      <c r="P44" s="78">
        <f t="shared" si="0"/>
        <v>18.867924528301888</v>
      </c>
    </row>
    <row r="45" spans="1:16" x14ac:dyDescent="0.25">
      <c r="A45" s="5" t="s">
        <v>102</v>
      </c>
      <c r="B45" s="78">
        <f>(12*38)/12</f>
        <v>38</v>
      </c>
      <c r="C45" s="5" t="s">
        <v>39</v>
      </c>
      <c r="D45" s="79">
        <v>102600</v>
      </c>
      <c r="E45" s="80">
        <v>150</v>
      </c>
      <c r="F45" s="80">
        <v>12</v>
      </c>
      <c r="G45" s="81">
        <v>5.2999999999999999E-2</v>
      </c>
      <c r="H45" s="82">
        <v>1.03</v>
      </c>
      <c r="I45" s="82">
        <v>1.83</v>
      </c>
      <c r="J45" s="82">
        <v>1.99</v>
      </c>
      <c r="K45" s="82">
        <v>0.51</v>
      </c>
      <c r="L45" s="82">
        <v>5.37</v>
      </c>
      <c r="M45" s="82">
        <v>4.4400000000000004</v>
      </c>
      <c r="N45" s="82">
        <v>3.98</v>
      </c>
      <c r="O45" s="82">
        <v>13.8</v>
      </c>
      <c r="P45" s="78">
        <f t="shared" si="0"/>
        <v>18.867924528301888</v>
      </c>
    </row>
    <row r="46" spans="1:16" x14ac:dyDescent="0.25">
      <c r="A46" s="5" t="s">
        <v>103</v>
      </c>
      <c r="B46" s="78">
        <f>(4*30)/12</f>
        <v>10</v>
      </c>
      <c r="C46" s="5" t="s">
        <v>39</v>
      </c>
      <c r="D46" s="79">
        <v>26100</v>
      </c>
      <c r="E46" s="80">
        <v>150</v>
      </c>
      <c r="F46" s="80">
        <v>12</v>
      </c>
      <c r="G46" s="81">
        <v>0.20399999999999999</v>
      </c>
      <c r="H46" s="82">
        <v>3.93</v>
      </c>
      <c r="I46" s="82">
        <v>6.95</v>
      </c>
      <c r="J46" s="82">
        <v>1.92</v>
      </c>
      <c r="K46" s="82">
        <v>1.96</v>
      </c>
      <c r="L46" s="82">
        <v>14.78</v>
      </c>
      <c r="M46" s="82">
        <v>4.29</v>
      </c>
      <c r="N46" s="82">
        <v>15.16</v>
      </c>
      <c r="O46" s="82">
        <v>34.229999999999997</v>
      </c>
      <c r="P46" s="78">
        <f t="shared" si="0"/>
        <v>4.9019607843137258</v>
      </c>
    </row>
    <row r="47" spans="1:16" x14ac:dyDescent="0.25">
      <c r="A47" s="5" t="s">
        <v>104</v>
      </c>
      <c r="B47" s="78">
        <f>(4*38)/12</f>
        <v>12.666666666666666</v>
      </c>
      <c r="C47" s="5" t="s">
        <v>39</v>
      </c>
      <c r="D47" s="79">
        <v>27800</v>
      </c>
      <c r="E47" s="80">
        <v>150</v>
      </c>
      <c r="F47" s="80">
        <v>12</v>
      </c>
      <c r="G47" s="81">
        <v>0.16</v>
      </c>
      <c r="H47" s="82">
        <v>3.1</v>
      </c>
      <c r="I47" s="82">
        <v>5.47</v>
      </c>
      <c r="J47" s="82">
        <v>1.61</v>
      </c>
      <c r="K47" s="82">
        <v>1.54</v>
      </c>
      <c r="L47" s="82">
        <v>11.73</v>
      </c>
      <c r="M47" s="82">
        <v>3.6</v>
      </c>
      <c r="N47" s="82">
        <v>11.93</v>
      </c>
      <c r="O47" s="82">
        <v>27.27</v>
      </c>
      <c r="P47" s="78">
        <f t="shared" si="0"/>
        <v>6.25</v>
      </c>
    </row>
    <row r="48" spans="1:16" x14ac:dyDescent="0.25">
      <c r="A48" s="5" t="s">
        <v>105</v>
      </c>
      <c r="B48" s="78">
        <f>(6*30)/12</f>
        <v>15</v>
      </c>
      <c r="C48" s="5" t="s">
        <v>39</v>
      </c>
      <c r="D48" s="79">
        <v>36300</v>
      </c>
      <c r="E48" s="80">
        <v>150</v>
      </c>
      <c r="F48" s="80">
        <v>12</v>
      </c>
      <c r="G48" s="81">
        <v>0.13600000000000001</v>
      </c>
      <c r="H48" s="82">
        <v>2.62</v>
      </c>
      <c r="I48" s="82">
        <v>4.63</v>
      </c>
      <c r="J48" s="82">
        <v>1.78</v>
      </c>
      <c r="K48" s="82">
        <v>1.3</v>
      </c>
      <c r="L48" s="82">
        <v>10.35</v>
      </c>
      <c r="M48" s="82">
        <v>3.98</v>
      </c>
      <c r="N48" s="82">
        <v>10.1</v>
      </c>
      <c r="O48" s="82">
        <v>24.44</v>
      </c>
      <c r="P48" s="78">
        <f t="shared" si="0"/>
        <v>7.3529411764705879</v>
      </c>
    </row>
    <row r="49" spans="1:16" x14ac:dyDescent="0.25">
      <c r="A49" s="5" t="s">
        <v>106</v>
      </c>
      <c r="B49" s="78">
        <f>(6*38)/12</f>
        <v>19</v>
      </c>
      <c r="C49" s="5" t="s">
        <v>39</v>
      </c>
      <c r="D49" s="79">
        <v>37700</v>
      </c>
      <c r="E49" s="80">
        <v>150</v>
      </c>
      <c r="F49" s="80">
        <v>12</v>
      </c>
      <c r="G49" s="81">
        <v>0.107</v>
      </c>
      <c r="H49" s="82">
        <v>2.0699999999999998</v>
      </c>
      <c r="I49" s="82">
        <v>3.66</v>
      </c>
      <c r="J49" s="82">
        <v>1.46</v>
      </c>
      <c r="K49" s="82">
        <v>1.03</v>
      </c>
      <c r="L49" s="82">
        <v>8.23</v>
      </c>
      <c r="M49" s="82">
        <v>3.26</v>
      </c>
      <c r="N49" s="82">
        <v>7.97</v>
      </c>
      <c r="O49" s="82">
        <v>19.47</v>
      </c>
      <c r="P49" s="78">
        <f t="shared" si="0"/>
        <v>9.3457943925233646</v>
      </c>
    </row>
    <row r="50" spans="1:16" x14ac:dyDescent="0.25">
      <c r="A50" s="5" t="s">
        <v>107</v>
      </c>
      <c r="B50" s="78">
        <f>(8*30)/12</f>
        <v>20</v>
      </c>
      <c r="C50" s="5" t="s">
        <v>39</v>
      </c>
      <c r="D50" s="79">
        <v>48500</v>
      </c>
      <c r="E50" s="80">
        <v>150</v>
      </c>
      <c r="F50" s="80">
        <v>12</v>
      </c>
      <c r="G50" s="81">
        <v>0.10199999999999999</v>
      </c>
      <c r="H50" s="82">
        <v>1.96</v>
      </c>
      <c r="I50" s="82">
        <v>3.47</v>
      </c>
      <c r="J50" s="82">
        <v>1.78</v>
      </c>
      <c r="K50" s="82">
        <v>0.98</v>
      </c>
      <c r="L50" s="82">
        <v>8.2100000000000009</v>
      </c>
      <c r="M50" s="82">
        <v>3.99</v>
      </c>
      <c r="N50" s="82">
        <v>7.58</v>
      </c>
      <c r="O50" s="82">
        <v>19.79</v>
      </c>
      <c r="P50" s="78">
        <f t="shared" si="0"/>
        <v>9.8039215686274517</v>
      </c>
    </row>
    <row r="51" spans="1:16" x14ac:dyDescent="0.25">
      <c r="A51" s="5" t="s">
        <v>108</v>
      </c>
      <c r="B51" s="78">
        <f>(8*38)/12</f>
        <v>25.333333333333332</v>
      </c>
      <c r="C51" s="5" t="s">
        <v>39</v>
      </c>
      <c r="D51" s="79">
        <v>50100</v>
      </c>
      <c r="E51" s="80">
        <v>150</v>
      </c>
      <c r="F51" s="80">
        <v>12</v>
      </c>
      <c r="G51" s="81">
        <v>0.08</v>
      </c>
      <c r="H51" s="82">
        <v>1.55</v>
      </c>
      <c r="I51" s="82">
        <v>2.74</v>
      </c>
      <c r="J51" s="82">
        <v>1.46</v>
      </c>
      <c r="K51" s="82">
        <v>0.77</v>
      </c>
      <c r="L51" s="82">
        <v>6.54</v>
      </c>
      <c r="M51" s="82">
        <v>3.25</v>
      </c>
      <c r="N51" s="82">
        <v>5.99</v>
      </c>
      <c r="O51" s="82">
        <v>15.79</v>
      </c>
      <c r="P51" s="78">
        <f t="shared" si="0"/>
        <v>12.5</v>
      </c>
    </row>
    <row r="52" spans="1:16" x14ac:dyDescent="0.25">
      <c r="A52" s="72" t="s">
        <v>109</v>
      </c>
      <c r="B52" s="73">
        <f>(4*38)/12</f>
        <v>12.666666666666666</v>
      </c>
      <c r="C52" s="72" t="s">
        <v>38</v>
      </c>
      <c r="D52" s="74">
        <v>30500</v>
      </c>
      <c r="E52" s="75">
        <v>200</v>
      </c>
      <c r="F52" s="75">
        <v>10</v>
      </c>
      <c r="G52" s="76">
        <v>0.25700000000000001</v>
      </c>
      <c r="H52" s="77">
        <v>4.97</v>
      </c>
      <c r="I52" s="77">
        <v>7.41</v>
      </c>
      <c r="J52" s="77">
        <v>1.96</v>
      </c>
      <c r="K52" s="77">
        <v>2.2599999999999998</v>
      </c>
      <c r="L52" s="77">
        <v>16.61</v>
      </c>
      <c r="M52" s="77">
        <v>5.0599999999999996</v>
      </c>
      <c r="N52" s="77">
        <v>17.5</v>
      </c>
      <c r="O52" s="77">
        <v>39.18</v>
      </c>
      <c r="P52" s="73">
        <f t="shared" si="0"/>
        <v>3.8910505836575875</v>
      </c>
    </row>
    <row r="53" spans="1:16" x14ac:dyDescent="0.25">
      <c r="A53" s="72" t="s">
        <v>110</v>
      </c>
      <c r="B53" s="73">
        <f>(4*38)/12</f>
        <v>12.666666666666666</v>
      </c>
      <c r="C53" s="72" t="s">
        <v>38</v>
      </c>
      <c r="D53" s="74">
        <v>30500</v>
      </c>
      <c r="E53" s="75">
        <v>200</v>
      </c>
      <c r="F53" s="75">
        <v>10</v>
      </c>
      <c r="G53" s="76">
        <v>0.25700000000000001</v>
      </c>
      <c r="H53" s="77">
        <v>4.97</v>
      </c>
      <c r="I53" s="77">
        <v>7.41</v>
      </c>
      <c r="J53" s="77">
        <v>1.96</v>
      </c>
      <c r="K53" s="77">
        <v>2.2599999999999998</v>
      </c>
      <c r="L53" s="77">
        <v>16.61</v>
      </c>
      <c r="M53" s="77">
        <v>5.0599999999999996</v>
      </c>
      <c r="N53" s="77">
        <v>17.5</v>
      </c>
      <c r="O53" s="77">
        <v>39.18</v>
      </c>
      <c r="P53" s="73">
        <f t="shared" si="0"/>
        <v>3.8910505836575875</v>
      </c>
    </row>
    <row r="54" spans="1:16" x14ac:dyDescent="0.25">
      <c r="A54" s="72" t="s">
        <v>111</v>
      </c>
      <c r="B54" s="73">
        <f>(4*38)/12</f>
        <v>12.666666666666666</v>
      </c>
      <c r="C54" s="72" t="s">
        <v>38</v>
      </c>
      <c r="D54" s="74">
        <v>30500</v>
      </c>
      <c r="E54" s="75">
        <v>200</v>
      </c>
      <c r="F54" s="75">
        <v>10</v>
      </c>
      <c r="G54" s="76">
        <v>0.17199999999999999</v>
      </c>
      <c r="H54" s="77">
        <v>3.32</v>
      </c>
      <c r="I54" s="77">
        <v>4.95</v>
      </c>
      <c r="J54" s="77">
        <v>1.31</v>
      </c>
      <c r="K54" s="77">
        <v>1.51</v>
      </c>
      <c r="L54" s="77">
        <v>11.1</v>
      </c>
      <c r="M54" s="77">
        <v>3.38</v>
      </c>
      <c r="N54" s="77">
        <v>11.7</v>
      </c>
      <c r="O54" s="77">
        <v>26.19</v>
      </c>
      <c r="P54" s="73">
        <f t="shared" si="0"/>
        <v>5.8139534883720936</v>
      </c>
    </row>
    <row r="55" spans="1:16" x14ac:dyDescent="0.25">
      <c r="A55" s="72" t="s">
        <v>112</v>
      </c>
      <c r="B55" s="73">
        <f>(6*30)/12</f>
        <v>15</v>
      </c>
      <c r="C55" s="72" t="s">
        <v>38</v>
      </c>
      <c r="D55" s="74">
        <v>30500</v>
      </c>
      <c r="E55" s="75">
        <v>200</v>
      </c>
      <c r="F55" s="75">
        <v>10</v>
      </c>
      <c r="G55" s="76">
        <v>0.218</v>
      </c>
      <c r="H55" s="77">
        <v>4.2</v>
      </c>
      <c r="I55" s="77">
        <v>6.27</v>
      </c>
      <c r="J55" s="77">
        <v>1.66</v>
      </c>
      <c r="K55" s="77">
        <v>1.91</v>
      </c>
      <c r="L55" s="77">
        <v>14.06</v>
      </c>
      <c r="M55" s="77">
        <v>4.28</v>
      </c>
      <c r="N55" s="77">
        <v>14.82</v>
      </c>
      <c r="O55" s="77">
        <v>33.17</v>
      </c>
      <c r="P55" s="73">
        <f t="shared" si="0"/>
        <v>4.5871559633027523</v>
      </c>
    </row>
    <row r="56" spans="1:16" x14ac:dyDescent="0.25">
      <c r="A56" s="72" t="s">
        <v>113</v>
      </c>
      <c r="B56" s="73">
        <f>(6*38)/12</f>
        <v>19</v>
      </c>
      <c r="C56" s="72" t="s">
        <v>38</v>
      </c>
      <c r="D56" s="74">
        <v>30500</v>
      </c>
      <c r="E56" s="75">
        <v>200</v>
      </c>
      <c r="F56" s="75">
        <v>10</v>
      </c>
      <c r="G56" s="76">
        <v>0.17199999999999999</v>
      </c>
      <c r="H56" s="77">
        <v>3.32</v>
      </c>
      <c r="I56" s="77">
        <v>4.95</v>
      </c>
      <c r="J56" s="77">
        <v>1.31</v>
      </c>
      <c r="K56" s="77">
        <v>1.51</v>
      </c>
      <c r="L56" s="77">
        <v>11.1</v>
      </c>
      <c r="M56" s="77">
        <v>3.38</v>
      </c>
      <c r="N56" s="77">
        <v>11.7</v>
      </c>
      <c r="O56" s="77">
        <v>26.19</v>
      </c>
      <c r="P56" s="73">
        <f t="shared" si="0"/>
        <v>5.8139534883720936</v>
      </c>
    </row>
    <row r="57" spans="1:16" x14ac:dyDescent="0.25">
      <c r="A57" s="5" t="s">
        <v>114</v>
      </c>
      <c r="B57" s="78">
        <v>6</v>
      </c>
      <c r="C57" s="5" t="s">
        <v>32</v>
      </c>
      <c r="D57" s="79">
        <v>2120</v>
      </c>
      <c r="E57" s="80">
        <v>200</v>
      </c>
      <c r="F57" s="80">
        <v>20</v>
      </c>
      <c r="G57" s="81">
        <v>0.02</v>
      </c>
      <c r="H57" s="82">
        <v>0.38</v>
      </c>
      <c r="I57" s="82">
        <v>0.31</v>
      </c>
      <c r="J57" s="82">
        <v>0.02</v>
      </c>
      <c r="K57" s="82">
        <v>0.06</v>
      </c>
      <c r="L57" s="82">
        <v>0.79</v>
      </c>
      <c r="M57" s="82">
        <v>0.02</v>
      </c>
      <c r="N57" s="82">
        <v>0.51</v>
      </c>
      <c r="O57" s="82">
        <v>1.33</v>
      </c>
      <c r="P57" s="78">
        <f t="shared" si="0"/>
        <v>50</v>
      </c>
    </row>
    <row r="58" spans="1:16" x14ac:dyDescent="0.25">
      <c r="A58" s="72" t="s">
        <v>115</v>
      </c>
      <c r="B58" s="73">
        <v>24</v>
      </c>
      <c r="C58" s="72" t="s">
        <v>38</v>
      </c>
      <c r="D58" s="74">
        <v>62100</v>
      </c>
      <c r="E58" s="75">
        <v>150</v>
      </c>
      <c r="F58" s="75">
        <v>12</v>
      </c>
      <c r="G58" s="76">
        <v>7.5999999999999998E-2</v>
      </c>
      <c r="H58" s="77">
        <v>1.47</v>
      </c>
      <c r="I58" s="77">
        <v>2.19</v>
      </c>
      <c r="J58" s="77">
        <v>1.71</v>
      </c>
      <c r="K58" s="77">
        <v>0.67</v>
      </c>
      <c r="L58" s="77">
        <v>6.05</v>
      </c>
      <c r="M58" s="77">
        <v>3.82</v>
      </c>
      <c r="N58" s="77">
        <v>5.19</v>
      </c>
      <c r="O58" s="77">
        <v>15.07</v>
      </c>
      <c r="P58" s="73">
        <f t="shared" si="0"/>
        <v>13.157894736842106</v>
      </c>
    </row>
    <row r="59" spans="1:16" x14ac:dyDescent="0.25">
      <c r="A59" s="72" t="s">
        <v>116</v>
      </c>
      <c r="B59" s="73">
        <v>32</v>
      </c>
      <c r="C59" s="72" t="s">
        <v>39</v>
      </c>
      <c r="D59" s="74">
        <v>80500</v>
      </c>
      <c r="E59" s="75">
        <v>150</v>
      </c>
      <c r="F59" s="75">
        <v>12</v>
      </c>
      <c r="G59" s="76">
        <v>5.7000000000000002E-2</v>
      </c>
      <c r="H59" s="77">
        <v>1.1100000000000001</v>
      </c>
      <c r="I59" s="77">
        <v>1.96</v>
      </c>
      <c r="J59" s="77">
        <v>1.67</v>
      </c>
      <c r="K59" s="77">
        <v>0.55000000000000004</v>
      </c>
      <c r="L59" s="77">
        <v>5.31</v>
      </c>
      <c r="M59" s="77">
        <v>3.74</v>
      </c>
      <c r="N59" s="77">
        <v>4.28</v>
      </c>
      <c r="O59" s="77">
        <v>13.34</v>
      </c>
      <c r="P59" s="73">
        <f t="shared" si="0"/>
        <v>17.543859649122805</v>
      </c>
    </row>
    <row r="60" spans="1:16" x14ac:dyDescent="0.25">
      <c r="A60" s="72" t="s">
        <v>117</v>
      </c>
      <c r="B60" s="73">
        <v>42</v>
      </c>
      <c r="C60" s="72" t="s">
        <v>39</v>
      </c>
      <c r="D60" s="74">
        <v>93000</v>
      </c>
      <c r="E60" s="75">
        <v>150</v>
      </c>
      <c r="F60" s="75">
        <v>12</v>
      </c>
      <c r="G60" s="76">
        <v>4.3999999999999997E-2</v>
      </c>
      <c r="H60" s="77">
        <v>0.84</v>
      </c>
      <c r="I60" s="77">
        <v>1.49</v>
      </c>
      <c r="J60" s="77">
        <v>1.47</v>
      </c>
      <c r="K60" s="77">
        <v>0.42</v>
      </c>
      <c r="L60" s="77">
        <v>4.24</v>
      </c>
      <c r="M60" s="77">
        <v>3.29</v>
      </c>
      <c r="N60" s="77">
        <v>3.26</v>
      </c>
      <c r="O60" s="77">
        <v>10.81</v>
      </c>
      <c r="P60" s="73">
        <f t="shared" si="0"/>
        <v>22.72727272727273</v>
      </c>
    </row>
    <row r="61" spans="1:16" x14ac:dyDescent="0.25">
      <c r="A61" s="72" t="s">
        <v>118</v>
      </c>
      <c r="B61" s="73">
        <v>50</v>
      </c>
      <c r="C61" s="72" t="s">
        <v>39</v>
      </c>
      <c r="D61" s="74">
        <v>117000</v>
      </c>
      <c r="E61" s="75">
        <v>150</v>
      </c>
      <c r="F61" s="75">
        <v>12</v>
      </c>
      <c r="G61" s="76">
        <v>3.5999999999999997E-2</v>
      </c>
      <c r="H61" s="77">
        <v>0.71</v>
      </c>
      <c r="I61" s="77">
        <v>1.25</v>
      </c>
      <c r="J61" s="77">
        <v>1.56</v>
      </c>
      <c r="K61" s="77">
        <v>0.35</v>
      </c>
      <c r="L61" s="77">
        <v>3.88</v>
      </c>
      <c r="M61" s="77">
        <v>3.48</v>
      </c>
      <c r="N61" s="77">
        <v>2.74</v>
      </c>
      <c r="O61" s="77">
        <v>10.11</v>
      </c>
      <c r="P61" s="73">
        <f t="shared" si="0"/>
        <v>27.777777777777779</v>
      </c>
    </row>
    <row r="62" spans="1:16" x14ac:dyDescent="0.25">
      <c r="A62" s="72" t="s">
        <v>119</v>
      </c>
      <c r="B62" s="73">
        <v>61</v>
      </c>
      <c r="C62" s="72" t="s">
        <v>39</v>
      </c>
      <c r="D62" s="74">
        <v>150000</v>
      </c>
      <c r="E62" s="75">
        <v>150</v>
      </c>
      <c r="F62" s="75">
        <v>12</v>
      </c>
      <c r="G62" s="76">
        <v>0.03</v>
      </c>
      <c r="H62" s="77">
        <v>0.57999999999999996</v>
      </c>
      <c r="I62" s="77">
        <v>1.03</v>
      </c>
      <c r="J62" s="77">
        <v>1.64</v>
      </c>
      <c r="K62" s="77">
        <v>0.28999999999999998</v>
      </c>
      <c r="L62" s="77">
        <v>3.54</v>
      </c>
      <c r="M62" s="77">
        <v>3.66</v>
      </c>
      <c r="N62" s="77">
        <v>2.2400000000000002</v>
      </c>
      <c r="O62" s="77">
        <v>9.4499999999999993</v>
      </c>
      <c r="P62" s="73">
        <f t="shared" si="0"/>
        <v>33.333333333333336</v>
      </c>
    </row>
    <row r="63" spans="1:16" x14ac:dyDescent="0.25">
      <c r="A63" s="72" t="s">
        <v>120</v>
      </c>
      <c r="B63" s="73">
        <v>10</v>
      </c>
      <c r="C63" s="72" t="s">
        <v>37</v>
      </c>
      <c r="D63" s="74">
        <v>13400</v>
      </c>
      <c r="E63" s="75">
        <v>150</v>
      </c>
      <c r="F63" s="75">
        <v>12</v>
      </c>
      <c r="G63" s="76">
        <v>0.184</v>
      </c>
      <c r="H63" s="77">
        <v>3.56</v>
      </c>
      <c r="I63" s="77">
        <v>4.75</v>
      </c>
      <c r="J63" s="77">
        <v>0.89</v>
      </c>
      <c r="K63" s="77">
        <v>1.26</v>
      </c>
      <c r="L63" s="77">
        <v>10.47</v>
      </c>
      <c r="M63" s="77">
        <v>1.99</v>
      </c>
      <c r="N63" s="77">
        <v>9.76</v>
      </c>
      <c r="O63" s="77">
        <v>22.23</v>
      </c>
      <c r="P63" s="73">
        <f t="shared" si="0"/>
        <v>5.4347826086956523</v>
      </c>
    </row>
    <row r="64" spans="1:16" x14ac:dyDescent="0.25">
      <c r="A64" s="72" t="s">
        <v>121</v>
      </c>
      <c r="B64" s="73">
        <v>15</v>
      </c>
      <c r="C64" s="72" t="s">
        <v>33</v>
      </c>
      <c r="D64" s="74">
        <v>20100</v>
      </c>
      <c r="E64" s="75">
        <v>150</v>
      </c>
      <c r="F64" s="75">
        <v>12</v>
      </c>
      <c r="G64" s="76">
        <v>0.123</v>
      </c>
      <c r="H64" s="77">
        <v>2.37</v>
      </c>
      <c r="I64" s="77">
        <v>2.42</v>
      </c>
      <c r="J64" s="77">
        <v>0.89</v>
      </c>
      <c r="K64" s="77">
        <v>0.55000000000000004</v>
      </c>
      <c r="L64" s="77">
        <v>6.25</v>
      </c>
      <c r="M64" s="77">
        <v>1.99</v>
      </c>
      <c r="N64" s="77">
        <v>4.16</v>
      </c>
      <c r="O64" s="77">
        <v>12.4</v>
      </c>
      <c r="P64" s="73">
        <f t="shared" si="0"/>
        <v>8.1300813008130088</v>
      </c>
    </row>
    <row r="65" spans="1:16" x14ac:dyDescent="0.25">
      <c r="A65" s="72" t="s">
        <v>122</v>
      </c>
      <c r="B65" s="73">
        <v>20</v>
      </c>
      <c r="C65" s="72" t="s">
        <v>39</v>
      </c>
      <c r="D65" s="74">
        <v>19800</v>
      </c>
      <c r="E65" s="75">
        <v>150</v>
      </c>
      <c r="F65" s="75">
        <v>12</v>
      </c>
      <c r="G65" s="76">
        <v>0.10199999999999999</v>
      </c>
      <c r="H65" s="77">
        <v>1.98</v>
      </c>
      <c r="I65" s="77">
        <v>3.49</v>
      </c>
      <c r="J65" s="77">
        <v>0.73</v>
      </c>
      <c r="K65" s="77">
        <v>0.98</v>
      </c>
      <c r="L65" s="77">
        <v>7.19</v>
      </c>
      <c r="M65" s="77">
        <v>1.63</v>
      </c>
      <c r="N65" s="77">
        <v>7.62</v>
      </c>
      <c r="O65" s="77">
        <v>16.45</v>
      </c>
      <c r="P65" s="73">
        <f t="shared" si="0"/>
        <v>9.8039215686274517</v>
      </c>
    </row>
    <row r="66" spans="1:16" x14ac:dyDescent="0.25">
      <c r="A66" s="5" t="s">
        <v>123</v>
      </c>
      <c r="B66" s="78">
        <f>(4*30)/12</f>
        <v>10</v>
      </c>
      <c r="C66" s="5" t="s">
        <v>29</v>
      </c>
      <c r="D66" s="79">
        <v>27700</v>
      </c>
      <c r="E66" s="80">
        <v>150</v>
      </c>
      <c r="F66" s="80">
        <v>10</v>
      </c>
      <c r="G66" s="81">
        <v>0.22</v>
      </c>
      <c r="H66" s="82">
        <v>5.23</v>
      </c>
      <c r="I66" s="82">
        <v>3.49</v>
      </c>
      <c r="J66" s="82">
        <v>1.62</v>
      </c>
      <c r="K66" s="82">
        <v>0.78</v>
      </c>
      <c r="L66" s="82">
        <v>11.14</v>
      </c>
      <c r="M66" s="82">
        <v>5.37</v>
      </c>
      <c r="N66" s="82">
        <v>5.85</v>
      </c>
      <c r="O66" s="82">
        <v>22.36</v>
      </c>
      <c r="P66" s="78">
        <f t="shared" si="0"/>
        <v>4.5454545454545459</v>
      </c>
    </row>
    <row r="67" spans="1:16" x14ac:dyDescent="0.25">
      <c r="A67" s="5" t="s">
        <v>124</v>
      </c>
      <c r="B67" s="78">
        <f>(4*38)/12</f>
        <v>12.666666666666666</v>
      </c>
      <c r="C67" s="5" t="s">
        <v>29</v>
      </c>
      <c r="D67" s="79">
        <v>27700</v>
      </c>
      <c r="E67" s="80">
        <v>150</v>
      </c>
      <c r="F67" s="80">
        <v>10</v>
      </c>
      <c r="G67" s="81">
        <v>0.17299999999999999</v>
      </c>
      <c r="H67" s="82">
        <v>4.12</v>
      </c>
      <c r="I67" s="82">
        <v>2.75</v>
      </c>
      <c r="J67" s="82">
        <v>1.27</v>
      </c>
      <c r="K67" s="82">
        <v>0.61</v>
      </c>
      <c r="L67" s="82">
        <v>8.77</v>
      </c>
      <c r="M67" s="82">
        <v>4.22</v>
      </c>
      <c r="N67" s="82">
        <v>4.5999999999999996</v>
      </c>
      <c r="O67" s="82">
        <v>17.600000000000001</v>
      </c>
      <c r="P67" s="78">
        <f t="shared" si="0"/>
        <v>5.7803468208092488</v>
      </c>
    </row>
    <row r="68" spans="1:16" x14ac:dyDescent="0.25">
      <c r="A68" s="5" t="s">
        <v>125</v>
      </c>
      <c r="B68" s="78">
        <f>(6*30)/12</f>
        <v>15</v>
      </c>
      <c r="C68" s="5" t="s">
        <v>36</v>
      </c>
      <c r="D68" s="79">
        <v>34300</v>
      </c>
      <c r="E68" s="80">
        <v>150</v>
      </c>
      <c r="F68" s="80">
        <v>10</v>
      </c>
      <c r="G68" s="81">
        <v>0.14599999999999999</v>
      </c>
      <c r="H68" s="82">
        <v>3.49</v>
      </c>
      <c r="I68" s="82">
        <v>3.32</v>
      </c>
      <c r="J68" s="82">
        <v>1.34</v>
      </c>
      <c r="K68" s="82">
        <v>0.88</v>
      </c>
      <c r="L68" s="82">
        <v>9.0500000000000007</v>
      </c>
      <c r="M68" s="82">
        <v>4.43</v>
      </c>
      <c r="N68" s="82">
        <v>6.65</v>
      </c>
      <c r="O68" s="82">
        <v>20.13</v>
      </c>
      <c r="P68" s="78">
        <f t="shared" si="0"/>
        <v>6.8493150684931514</v>
      </c>
    </row>
    <row r="69" spans="1:16" x14ac:dyDescent="0.25">
      <c r="A69" s="5" t="s">
        <v>126</v>
      </c>
      <c r="B69" s="78">
        <f>(6*38)/12</f>
        <v>19</v>
      </c>
      <c r="C69" s="5" t="s">
        <v>36</v>
      </c>
      <c r="D69" s="79">
        <v>34200</v>
      </c>
      <c r="E69" s="80">
        <v>150</v>
      </c>
      <c r="F69" s="80">
        <v>10</v>
      </c>
      <c r="G69" s="81">
        <v>0.115</v>
      </c>
      <c r="H69" s="82">
        <v>2.75</v>
      </c>
      <c r="I69" s="82">
        <v>2.62</v>
      </c>
      <c r="J69" s="82">
        <v>1.05</v>
      </c>
      <c r="K69" s="82">
        <v>0.7</v>
      </c>
      <c r="L69" s="82">
        <v>7.14</v>
      </c>
      <c r="M69" s="82">
        <v>3.48</v>
      </c>
      <c r="N69" s="82">
        <v>5.25</v>
      </c>
      <c r="O69" s="82">
        <v>15.88</v>
      </c>
      <c r="P69" s="78">
        <f t="shared" ref="P69:P136" si="1">1/G69</f>
        <v>8.695652173913043</v>
      </c>
    </row>
    <row r="70" spans="1:16" x14ac:dyDescent="0.25">
      <c r="A70" s="5" t="s">
        <v>127</v>
      </c>
      <c r="B70" s="78">
        <f>(8*30)/12</f>
        <v>20</v>
      </c>
      <c r="C70" s="5" t="s">
        <v>38</v>
      </c>
      <c r="D70" s="79">
        <v>42100</v>
      </c>
      <c r="E70" s="80">
        <v>150</v>
      </c>
      <c r="F70" s="80">
        <v>10</v>
      </c>
      <c r="G70" s="81">
        <v>0.11</v>
      </c>
      <c r="H70" s="82">
        <v>2.61</v>
      </c>
      <c r="I70" s="82">
        <v>3.16</v>
      </c>
      <c r="J70" s="82">
        <v>1.23</v>
      </c>
      <c r="K70" s="82">
        <v>0.96</v>
      </c>
      <c r="L70" s="82">
        <v>7.98</v>
      </c>
      <c r="M70" s="82">
        <v>4.08</v>
      </c>
      <c r="N70" s="82">
        <v>7.47</v>
      </c>
      <c r="O70" s="82">
        <v>19.53</v>
      </c>
      <c r="P70" s="78">
        <f t="shared" si="1"/>
        <v>9.0909090909090917</v>
      </c>
    </row>
    <row r="71" spans="1:16" x14ac:dyDescent="0.25">
      <c r="A71" s="5" t="s">
        <v>128</v>
      </c>
      <c r="B71" s="78">
        <f>(8*38)/12</f>
        <v>25.333333333333332</v>
      </c>
      <c r="C71" s="5" t="s">
        <v>38</v>
      </c>
      <c r="D71" s="79">
        <v>47000</v>
      </c>
      <c r="E71" s="80">
        <v>150</v>
      </c>
      <c r="F71" s="80">
        <v>10</v>
      </c>
      <c r="G71" s="81">
        <v>8.5999999999999993E-2</v>
      </c>
      <c r="H71" s="82">
        <v>2.0699999999999998</v>
      </c>
      <c r="I71" s="82">
        <v>2.5</v>
      </c>
      <c r="J71" s="82">
        <v>1.08</v>
      </c>
      <c r="K71" s="82">
        <v>0.76</v>
      </c>
      <c r="L71" s="82">
        <v>6.42</v>
      </c>
      <c r="M71" s="82">
        <v>3.6</v>
      </c>
      <c r="N71" s="82">
        <v>5.9</v>
      </c>
      <c r="O71" s="82">
        <v>15.93</v>
      </c>
      <c r="P71" s="78">
        <f t="shared" si="1"/>
        <v>11.627906976744187</v>
      </c>
    </row>
    <row r="72" spans="1:16" x14ac:dyDescent="0.25">
      <c r="A72" s="5" t="s">
        <v>455</v>
      </c>
      <c r="B72" s="78">
        <f>(8*38)/12</f>
        <v>25.333333333333332</v>
      </c>
      <c r="C72" s="5" t="s">
        <v>38</v>
      </c>
      <c r="D72" s="79">
        <v>66600</v>
      </c>
      <c r="E72" s="80">
        <v>150</v>
      </c>
      <c r="F72" s="80">
        <v>10</v>
      </c>
      <c r="G72" s="81">
        <v>5.7000000000000002E-2</v>
      </c>
      <c r="H72" s="82">
        <v>1.37</v>
      </c>
      <c r="I72" s="82">
        <v>1.66</v>
      </c>
      <c r="J72" s="82">
        <v>1.02</v>
      </c>
      <c r="K72" s="82">
        <v>0.5</v>
      </c>
      <c r="L72" s="82">
        <v>4.57</v>
      </c>
      <c r="M72" s="82">
        <v>3.39</v>
      </c>
      <c r="N72" s="82">
        <v>3.93</v>
      </c>
      <c r="O72" s="82">
        <v>11.9</v>
      </c>
      <c r="P72" s="78">
        <f t="shared" si="1"/>
        <v>17.543859649122805</v>
      </c>
    </row>
    <row r="73" spans="1:16" x14ac:dyDescent="0.25">
      <c r="A73" s="5" t="s">
        <v>456</v>
      </c>
      <c r="B73" s="78">
        <f>(12*30)/12</f>
        <v>30</v>
      </c>
      <c r="C73" s="5" t="s">
        <v>39</v>
      </c>
      <c r="D73" s="79">
        <v>68100</v>
      </c>
      <c r="E73" s="80">
        <v>150</v>
      </c>
      <c r="F73" s="80">
        <v>10</v>
      </c>
      <c r="G73" s="81">
        <v>7.2999999999999995E-2</v>
      </c>
      <c r="H73" s="82">
        <v>1.74</v>
      </c>
      <c r="I73" s="82">
        <v>2.4900000000000002</v>
      </c>
      <c r="J73" s="82">
        <v>1.33</v>
      </c>
      <c r="K73" s="82">
        <v>0.7</v>
      </c>
      <c r="L73" s="82">
        <v>6.27</v>
      </c>
      <c r="M73" s="82">
        <v>4.4000000000000004</v>
      </c>
      <c r="N73" s="82">
        <v>5.44</v>
      </c>
      <c r="O73" s="82">
        <v>16.11</v>
      </c>
      <c r="P73" s="78">
        <f t="shared" si="1"/>
        <v>13.698630136986303</v>
      </c>
    </row>
    <row r="74" spans="1:16" x14ac:dyDescent="0.25">
      <c r="A74" s="5" t="s">
        <v>457</v>
      </c>
      <c r="B74" s="78">
        <f>(12*38)/12</f>
        <v>38</v>
      </c>
      <c r="C74" s="5" t="s">
        <v>39</v>
      </c>
      <c r="D74" s="79">
        <v>66600</v>
      </c>
      <c r="E74" s="80">
        <v>150</v>
      </c>
      <c r="F74" s="80">
        <v>10</v>
      </c>
      <c r="G74" s="81">
        <v>5.7000000000000002E-2</v>
      </c>
      <c r="H74" s="82">
        <v>1.37</v>
      </c>
      <c r="I74" s="82">
        <v>1.97</v>
      </c>
      <c r="J74" s="82">
        <v>1.02</v>
      </c>
      <c r="K74" s="82">
        <v>0.55000000000000004</v>
      </c>
      <c r="L74" s="82">
        <v>4.93</v>
      </c>
      <c r="M74" s="82">
        <v>3.39</v>
      </c>
      <c r="N74" s="82">
        <v>4.29</v>
      </c>
      <c r="O74" s="82">
        <v>12.62</v>
      </c>
      <c r="P74" s="78">
        <f t="shared" si="1"/>
        <v>17.543859649122805</v>
      </c>
    </row>
    <row r="75" spans="1:16" x14ac:dyDescent="0.25">
      <c r="A75" s="5" t="s">
        <v>458</v>
      </c>
      <c r="B75" s="78">
        <f>(16*30)/12</f>
        <v>40</v>
      </c>
      <c r="C75" s="5" t="s">
        <v>39</v>
      </c>
      <c r="D75" s="79">
        <v>89500</v>
      </c>
      <c r="E75" s="80">
        <v>150</v>
      </c>
      <c r="F75" s="80">
        <v>10</v>
      </c>
      <c r="G75" s="81">
        <v>5.5E-2</v>
      </c>
      <c r="H75" s="82">
        <v>1.3</v>
      </c>
      <c r="I75" s="82">
        <v>1.87</v>
      </c>
      <c r="J75" s="82">
        <v>1.31</v>
      </c>
      <c r="K75" s="82">
        <v>0.52</v>
      </c>
      <c r="L75" s="82">
        <v>5.0199999999999996</v>
      </c>
      <c r="M75" s="82">
        <v>4.33</v>
      </c>
      <c r="N75" s="82">
        <v>4.08</v>
      </c>
      <c r="O75" s="82">
        <v>13.44</v>
      </c>
      <c r="P75" s="78">
        <f t="shared" si="1"/>
        <v>18.181818181818183</v>
      </c>
    </row>
    <row r="76" spans="1:16" x14ac:dyDescent="0.25">
      <c r="A76" s="5" t="s">
        <v>129</v>
      </c>
      <c r="B76" s="78">
        <f>(4*30)/12</f>
        <v>10</v>
      </c>
      <c r="C76" s="5" t="s">
        <v>29</v>
      </c>
      <c r="D76" s="79">
        <v>21600</v>
      </c>
      <c r="E76" s="80">
        <v>150</v>
      </c>
      <c r="F76" s="80">
        <v>10</v>
      </c>
      <c r="G76" s="81">
        <v>0.20599999999999999</v>
      </c>
      <c r="H76" s="82">
        <v>3.97</v>
      </c>
      <c r="I76" s="82">
        <v>3.27</v>
      </c>
      <c r="J76" s="82">
        <v>1.18</v>
      </c>
      <c r="K76" s="82">
        <v>0.72</v>
      </c>
      <c r="L76" s="82">
        <v>9.17</v>
      </c>
      <c r="M76" s="82">
        <v>3.92</v>
      </c>
      <c r="N76" s="82">
        <v>5.45</v>
      </c>
      <c r="O76" s="82">
        <v>18.54</v>
      </c>
      <c r="P76" s="78">
        <f t="shared" si="1"/>
        <v>4.8543689320388355</v>
      </c>
    </row>
    <row r="77" spans="1:16" x14ac:dyDescent="0.25">
      <c r="A77" s="5" t="s">
        <v>130</v>
      </c>
      <c r="B77" s="78">
        <f>(4*38)/12</f>
        <v>12.666666666666666</v>
      </c>
      <c r="C77" s="5" t="s">
        <v>29</v>
      </c>
      <c r="D77" s="79">
        <v>21600</v>
      </c>
      <c r="E77" s="80">
        <v>150</v>
      </c>
      <c r="F77" s="80">
        <v>10</v>
      </c>
      <c r="G77" s="81">
        <v>0.16200000000000001</v>
      </c>
      <c r="H77" s="82">
        <v>3.13</v>
      </c>
      <c r="I77" s="82">
        <v>2.58</v>
      </c>
      <c r="J77" s="82">
        <v>0.93</v>
      </c>
      <c r="K77" s="82">
        <v>0.56999999999999995</v>
      </c>
      <c r="L77" s="82">
        <v>7.22</v>
      </c>
      <c r="M77" s="82">
        <v>3.09</v>
      </c>
      <c r="N77" s="82">
        <v>4.32</v>
      </c>
      <c r="O77" s="82">
        <v>14.63</v>
      </c>
      <c r="P77" s="78">
        <f t="shared" si="1"/>
        <v>6.1728395061728394</v>
      </c>
    </row>
    <row r="78" spans="1:16" x14ac:dyDescent="0.25">
      <c r="A78" s="5" t="s">
        <v>131</v>
      </c>
      <c r="B78" s="78">
        <f>(6*30)/12</f>
        <v>15</v>
      </c>
      <c r="C78" s="5" t="s">
        <v>36</v>
      </c>
      <c r="D78" s="79">
        <v>28200</v>
      </c>
      <c r="E78" s="80">
        <v>150</v>
      </c>
      <c r="F78" s="80">
        <v>10</v>
      </c>
      <c r="G78" s="81">
        <v>0.13700000000000001</v>
      </c>
      <c r="H78" s="82">
        <v>2.65</v>
      </c>
      <c r="I78" s="82">
        <v>3.12</v>
      </c>
      <c r="J78" s="82">
        <v>1.03</v>
      </c>
      <c r="K78" s="82">
        <v>0.83</v>
      </c>
      <c r="L78" s="82">
        <v>7.63</v>
      </c>
      <c r="M78" s="82">
        <v>3.41</v>
      </c>
      <c r="N78" s="82">
        <v>6.23</v>
      </c>
      <c r="O78" s="82">
        <v>17.29</v>
      </c>
      <c r="P78" s="78">
        <f t="shared" si="1"/>
        <v>7.2992700729926998</v>
      </c>
    </row>
    <row r="79" spans="1:16" x14ac:dyDescent="0.25">
      <c r="A79" s="5" t="s">
        <v>132</v>
      </c>
      <c r="B79" s="78">
        <f>(6*38)/12</f>
        <v>19</v>
      </c>
      <c r="C79" s="5" t="s">
        <v>36</v>
      </c>
      <c r="D79" s="79">
        <v>28100</v>
      </c>
      <c r="E79" s="80">
        <v>150</v>
      </c>
      <c r="F79" s="80">
        <v>10</v>
      </c>
      <c r="G79" s="81">
        <v>0.108</v>
      </c>
      <c r="H79" s="82">
        <v>2.09</v>
      </c>
      <c r="I79" s="82">
        <v>2.46</v>
      </c>
      <c r="J79" s="82">
        <v>0.81</v>
      </c>
      <c r="K79" s="82">
        <v>0.65</v>
      </c>
      <c r="L79" s="82">
        <v>6.02</v>
      </c>
      <c r="M79" s="82">
        <v>2.68</v>
      </c>
      <c r="N79" s="82">
        <v>4.92</v>
      </c>
      <c r="O79" s="82">
        <v>13.64</v>
      </c>
      <c r="P79" s="78">
        <f t="shared" si="1"/>
        <v>9.2592592592592595</v>
      </c>
    </row>
    <row r="80" spans="1:16" x14ac:dyDescent="0.25">
      <c r="A80" s="5" t="s">
        <v>133</v>
      </c>
      <c r="B80" s="78">
        <f>(8*30)/12</f>
        <v>20</v>
      </c>
      <c r="C80" s="5" t="s">
        <v>38</v>
      </c>
      <c r="D80" s="79">
        <v>36000</v>
      </c>
      <c r="E80" s="80">
        <v>150</v>
      </c>
      <c r="F80" s="80">
        <v>10</v>
      </c>
      <c r="G80" s="81">
        <v>0.10299999999999999</v>
      </c>
      <c r="H80" s="82">
        <v>1.98</v>
      </c>
      <c r="I80" s="82">
        <v>2.96</v>
      </c>
      <c r="J80" s="82">
        <v>0.99</v>
      </c>
      <c r="K80" s="82">
        <v>0.9</v>
      </c>
      <c r="L80" s="82">
        <v>6.84</v>
      </c>
      <c r="M80" s="82">
        <v>3.27</v>
      </c>
      <c r="N80" s="82">
        <v>7</v>
      </c>
      <c r="O80" s="82">
        <v>17.12</v>
      </c>
      <c r="P80" s="78">
        <f t="shared" si="1"/>
        <v>9.7087378640776709</v>
      </c>
    </row>
    <row r="81" spans="1:16" x14ac:dyDescent="0.25">
      <c r="A81" s="5" t="s">
        <v>134</v>
      </c>
      <c r="B81" s="78">
        <f>(8*38)/12</f>
        <v>25.333333333333332</v>
      </c>
      <c r="C81" s="5" t="s">
        <v>38</v>
      </c>
      <c r="D81" s="79">
        <v>40900</v>
      </c>
      <c r="E81" s="80">
        <v>150</v>
      </c>
      <c r="F81" s="80">
        <v>10</v>
      </c>
      <c r="G81" s="81">
        <v>7.2999999999999995E-2</v>
      </c>
      <c r="H81" s="82">
        <v>1.42</v>
      </c>
      <c r="I81" s="82">
        <v>2.11</v>
      </c>
      <c r="J81" s="82">
        <v>0.8</v>
      </c>
      <c r="K81" s="82">
        <v>0.64</v>
      </c>
      <c r="L81" s="82">
        <v>4.9800000000000004</v>
      </c>
      <c r="M81" s="82">
        <v>2.65</v>
      </c>
      <c r="N81" s="82">
        <v>5</v>
      </c>
      <c r="O81" s="82">
        <v>12.64</v>
      </c>
      <c r="P81" s="78">
        <f t="shared" si="1"/>
        <v>13.698630136986303</v>
      </c>
    </row>
    <row r="82" spans="1:16" x14ac:dyDescent="0.25">
      <c r="A82" s="5" t="s">
        <v>135</v>
      </c>
      <c r="B82" s="78">
        <f>(8*38)/12</f>
        <v>25.333333333333332</v>
      </c>
      <c r="C82" s="5" t="s">
        <v>38</v>
      </c>
      <c r="D82" s="79">
        <v>60500</v>
      </c>
      <c r="E82" s="80">
        <v>150</v>
      </c>
      <c r="F82" s="80">
        <v>10</v>
      </c>
      <c r="G82" s="81">
        <v>5.3999999999999999E-2</v>
      </c>
      <c r="H82" s="82">
        <v>1.04</v>
      </c>
      <c r="I82" s="82">
        <v>1.56</v>
      </c>
      <c r="J82" s="82">
        <v>0.87</v>
      </c>
      <c r="K82" s="82">
        <v>0.47</v>
      </c>
      <c r="L82" s="82">
        <v>3.95</v>
      </c>
      <c r="M82" s="82">
        <v>2.89</v>
      </c>
      <c r="N82" s="82">
        <v>3.68</v>
      </c>
      <c r="O82" s="82">
        <v>10.53</v>
      </c>
      <c r="P82" s="78">
        <f t="shared" si="1"/>
        <v>18.518518518518519</v>
      </c>
    </row>
    <row r="83" spans="1:16" x14ac:dyDescent="0.25">
      <c r="A83" s="5" t="s">
        <v>136</v>
      </c>
      <c r="B83" s="78">
        <f>(12*30)/12</f>
        <v>30</v>
      </c>
      <c r="C83" s="5" t="s">
        <v>39</v>
      </c>
      <c r="D83" s="79">
        <v>62000</v>
      </c>
      <c r="E83" s="80">
        <v>150</v>
      </c>
      <c r="F83" s="80">
        <v>10</v>
      </c>
      <c r="G83" s="81">
        <v>6.8000000000000005E-2</v>
      </c>
      <c r="H83" s="82">
        <v>1.32</v>
      </c>
      <c r="I83" s="82">
        <v>2.34</v>
      </c>
      <c r="J83" s="82">
        <v>1.1299999999999999</v>
      </c>
      <c r="K83" s="82">
        <v>0.65</v>
      </c>
      <c r="L83" s="82">
        <v>5.46</v>
      </c>
      <c r="M83" s="82">
        <v>3.75</v>
      </c>
      <c r="N83" s="82">
        <v>5.0999999999999996</v>
      </c>
      <c r="O83" s="82">
        <v>14.32</v>
      </c>
      <c r="P83" s="78">
        <f t="shared" si="1"/>
        <v>14.705882352941176</v>
      </c>
    </row>
    <row r="84" spans="1:16" x14ac:dyDescent="0.25">
      <c r="A84" s="5" t="s">
        <v>137</v>
      </c>
      <c r="B84" s="78">
        <f>(12*38)/12</f>
        <v>38</v>
      </c>
      <c r="C84" s="5" t="s">
        <v>39</v>
      </c>
      <c r="D84" s="79">
        <v>60500</v>
      </c>
      <c r="E84" s="80">
        <v>150</v>
      </c>
      <c r="F84" s="80">
        <v>10</v>
      </c>
      <c r="G84" s="81">
        <v>5.3999999999999999E-2</v>
      </c>
      <c r="H84" s="82">
        <v>1.04</v>
      </c>
      <c r="I84" s="82">
        <v>1.84</v>
      </c>
      <c r="J84" s="82">
        <v>0.87</v>
      </c>
      <c r="K84" s="82">
        <v>0.52</v>
      </c>
      <c r="L84" s="82">
        <v>4.29</v>
      </c>
      <c r="M84" s="82">
        <v>2.89</v>
      </c>
      <c r="N84" s="82">
        <v>4.0199999999999996</v>
      </c>
      <c r="O84" s="82">
        <v>11.21</v>
      </c>
      <c r="P84" s="78">
        <f t="shared" si="1"/>
        <v>18.518518518518519</v>
      </c>
    </row>
    <row r="85" spans="1:16" x14ac:dyDescent="0.25">
      <c r="A85" s="5" t="s">
        <v>138</v>
      </c>
      <c r="B85" s="78">
        <f>(16*30)/12</f>
        <v>40</v>
      </c>
      <c r="C85" s="5" t="s">
        <v>39</v>
      </c>
      <c r="D85" s="79">
        <v>83400</v>
      </c>
      <c r="E85" s="80">
        <v>150</v>
      </c>
      <c r="F85" s="80">
        <v>10</v>
      </c>
      <c r="G85" s="81">
        <v>5.0999999999999997E-2</v>
      </c>
      <c r="H85" s="82">
        <v>0.99</v>
      </c>
      <c r="I85" s="82">
        <v>1.75</v>
      </c>
      <c r="J85" s="82">
        <v>1.1399999999999999</v>
      </c>
      <c r="K85" s="82">
        <v>0.49</v>
      </c>
      <c r="L85" s="82">
        <v>4.3899999999999997</v>
      </c>
      <c r="M85" s="82">
        <v>3.78</v>
      </c>
      <c r="N85" s="82">
        <v>3.82</v>
      </c>
      <c r="O85" s="82">
        <v>12</v>
      </c>
      <c r="P85" s="78">
        <f t="shared" si="1"/>
        <v>19.607843137254903</v>
      </c>
    </row>
    <row r="86" spans="1:16" x14ac:dyDescent="0.25">
      <c r="A86" s="72" t="s">
        <v>139</v>
      </c>
      <c r="B86" s="73">
        <v>14</v>
      </c>
      <c r="C86" s="72" t="s">
        <v>33</v>
      </c>
      <c r="D86" s="74">
        <v>42700</v>
      </c>
      <c r="E86" s="75">
        <v>200</v>
      </c>
      <c r="F86" s="75">
        <v>10</v>
      </c>
      <c r="G86" s="76">
        <v>0.14899999999999999</v>
      </c>
      <c r="H86" s="77">
        <v>3.56</v>
      </c>
      <c r="I86" s="77">
        <v>2.94</v>
      </c>
      <c r="J86" s="77">
        <v>1.91</v>
      </c>
      <c r="K86" s="77">
        <v>0.67</v>
      </c>
      <c r="L86" s="77">
        <v>9.09</v>
      </c>
      <c r="M86" s="77">
        <v>4.22</v>
      </c>
      <c r="N86" s="77">
        <v>5.05</v>
      </c>
      <c r="O86" s="77">
        <v>18.37</v>
      </c>
      <c r="P86" s="73">
        <f t="shared" si="1"/>
        <v>6.7114093959731544</v>
      </c>
    </row>
    <row r="87" spans="1:16" x14ac:dyDescent="0.25">
      <c r="A87" s="72" t="s">
        <v>140</v>
      </c>
      <c r="B87" s="73">
        <v>20</v>
      </c>
      <c r="C87" s="72" t="s">
        <v>38</v>
      </c>
      <c r="D87" s="74">
        <v>89600</v>
      </c>
      <c r="E87" s="75">
        <v>200</v>
      </c>
      <c r="F87" s="75">
        <v>10</v>
      </c>
      <c r="G87" s="76">
        <v>9.1999999999999998E-2</v>
      </c>
      <c r="H87" s="77">
        <v>2.2000000000000002</v>
      </c>
      <c r="I87" s="77">
        <v>2.65</v>
      </c>
      <c r="J87" s="77">
        <v>2.48</v>
      </c>
      <c r="K87" s="77">
        <v>0.81</v>
      </c>
      <c r="L87" s="77">
        <v>8.15</v>
      </c>
      <c r="M87" s="77">
        <v>5.47</v>
      </c>
      <c r="N87" s="77">
        <v>6.27</v>
      </c>
      <c r="O87" s="77">
        <v>19.899999999999999</v>
      </c>
      <c r="P87" s="73">
        <f t="shared" si="1"/>
        <v>10.869565217391305</v>
      </c>
    </row>
    <row r="88" spans="1:16" x14ac:dyDescent="0.25">
      <c r="A88" s="72" t="s">
        <v>141</v>
      </c>
      <c r="B88" s="73">
        <v>24</v>
      </c>
      <c r="C88" s="72" t="s">
        <v>38</v>
      </c>
      <c r="D88" s="74">
        <v>72800</v>
      </c>
      <c r="E88" s="75">
        <v>200</v>
      </c>
      <c r="F88" s="75">
        <v>10</v>
      </c>
      <c r="G88" s="76">
        <v>8.6999999999999994E-2</v>
      </c>
      <c r="H88" s="77">
        <v>2.0699999999999998</v>
      </c>
      <c r="I88" s="77">
        <v>2.5099999999999998</v>
      </c>
      <c r="J88" s="77">
        <v>1.9</v>
      </c>
      <c r="K88" s="77">
        <v>0.76</v>
      </c>
      <c r="L88" s="77">
        <v>7.26</v>
      </c>
      <c r="M88" s="77">
        <v>4.2</v>
      </c>
      <c r="N88" s="77">
        <v>5.92</v>
      </c>
      <c r="O88" s="77">
        <v>17.39</v>
      </c>
      <c r="P88" s="73">
        <f t="shared" si="1"/>
        <v>11.494252873563219</v>
      </c>
    </row>
    <row r="89" spans="1:16" x14ac:dyDescent="0.25">
      <c r="A89" s="72" t="s">
        <v>142</v>
      </c>
      <c r="B89" s="73">
        <v>28</v>
      </c>
      <c r="C89" s="72" t="s">
        <v>39</v>
      </c>
      <c r="D89" s="74">
        <v>86400</v>
      </c>
      <c r="E89" s="75">
        <v>200</v>
      </c>
      <c r="F89" s="75">
        <v>10</v>
      </c>
      <c r="G89" s="76">
        <v>7.3999999999999996E-2</v>
      </c>
      <c r="H89" s="77">
        <v>1.78</v>
      </c>
      <c r="I89" s="77">
        <v>2.54</v>
      </c>
      <c r="J89" s="77">
        <v>1.93</v>
      </c>
      <c r="K89" s="77">
        <v>0.71</v>
      </c>
      <c r="L89" s="77">
        <v>6.98</v>
      </c>
      <c r="M89" s="77">
        <v>4.2699999999999996</v>
      </c>
      <c r="N89" s="77">
        <v>5.55</v>
      </c>
      <c r="O89" s="77">
        <v>16.809999999999999</v>
      </c>
      <c r="P89" s="73">
        <f t="shared" si="1"/>
        <v>13.513513513513514</v>
      </c>
    </row>
    <row r="90" spans="1:16" x14ac:dyDescent="0.25">
      <c r="A90" s="72" t="s">
        <v>143</v>
      </c>
      <c r="B90" s="73">
        <v>32</v>
      </c>
      <c r="C90" s="72" t="s">
        <v>39</v>
      </c>
      <c r="D90" s="74">
        <v>94600</v>
      </c>
      <c r="E90" s="75">
        <v>200</v>
      </c>
      <c r="F90" s="75">
        <v>10</v>
      </c>
      <c r="G90" s="76">
        <v>6.5000000000000002E-2</v>
      </c>
      <c r="H90" s="77">
        <v>1.55</v>
      </c>
      <c r="I90" s="77">
        <v>2.2200000000000002</v>
      </c>
      <c r="J90" s="77">
        <v>1.85</v>
      </c>
      <c r="K90" s="77">
        <v>0.62</v>
      </c>
      <c r="L90" s="77">
        <v>6.27</v>
      </c>
      <c r="M90" s="77">
        <v>4.09</v>
      </c>
      <c r="N90" s="77">
        <v>4.8499999999999996</v>
      </c>
      <c r="O90" s="77">
        <v>15.22</v>
      </c>
      <c r="P90" s="73">
        <f t="shared" si="1"/>
        <v>15.384615384615383</v>
      </c>
    </row>
    <row r="91" spans="1:16" x14ac:dyDescent="0.25">
      <c r="A91" s="5" t="s">
        <v>144</v>
      </c>
      <c r="B91" s="78">
        <v>14</v>
      </c>
      <c r="C91" s="5" t="s">
        <v>33</v>
      </c>
      <c r="D91" s="79">
        <v>36600</v>
      </c>
      <c r="E91" s="80">
        <v>180</v>
      </c>
      <c r="F91" s="80">
        <v>10</v>
      </c>
      <c r="G91" s="81">
        <v>0.14000000000000001</v>
      </c>
      <c r="H91" s="82">
        <v>2.7</v>
      </c>
      <c r="I91" s="82">
        <v>2.76</v>
      </c>
      <c r="J91" s="82">
        <v>1.42</v>
      </c>
      <c r="K91" s="82">
        <v>0.63</v>
      </c>
      <c r="L91" s="82">
        <v>7.52</v>
      </c>
      <c r="M91" s="82">
        <v>3.77</v>
      </c>
      <c r="N91" s="82">
        <v>4.7300000000000004</v>
      </c>
      <c r="O91" s="82">
        <v>16.03</v>
      </c>
      <c r="P91" s="78">
        <f t="shared" si="1"/>
        <v>7.1428571428571423</v>
      </c>
    </row>
    <row r="92" spans="1:16" x14ac:dyDescent="0.25">
      <c r="A92" s="5" t="s">
        <v>145</v>
      </c>
      <c r="B92" s="78">
        <v>20</v>
      </c>
      <c r="C92" s="5" t="s">
        <v>38</v>
      </c>
      <c r="D92" s="79">
        <v>83500</v>
      </c>
      <c r="E92" s="80">
        <v>180</v>
      </c>
      <c r="F92" s="80">
        <v>10</v>
      </c>
      <c r="G92" s="81">
        <v>9.8000000000000004E-2</v>
      </c>
      <c r="H92" s="82">
        <v>1.89</v>
      </c>
      <c r="I92" s="82">
        <v>2.82</v>
      </c>
      <c r="J92" s="82">
        <v>2.27</v>
      </c>
      <c r="K92" s="82">
        <v>0.76</v>
      </c>
      <c r="L92" s="82">
        <v>7.85</v>
      </c>
      <c r="M92" s="82">
        <v>6.02</v>
      </c>
      <c r="N92" s="82">
        <v>6.66</v>
      </c>
      <c r="O92" s="82">
        <v>20.54</v>
      </c>
      <c r="P92" s="78">
        <f t="shared" si="1"/>
        <v>10.204081632653061</v>
      </c>
    </row>
    <row r="93" spans="1:16" x14ac:dyDescent="0.25">
      <c r="A93" s="5" t="s">
        <v>146</v>
      </c>
      <c r="B93" s="78">
        <v>24</v>
      </c>
      <c r="C93" s="5" t="s">
        <v>38</v>
      </c>
      <c r="D93" s="79">
        <v>66700</v>
      </c>
      <c r="E93" s="80">
        <v>180</v>
      </c>
      <c r="F93" s="80">
        <v>10</v>
      </c>
      <c r="G93" s="81">
        <v>8.1000000000000003E-2</v>
      </c>
      <c r="H93" s="82">
        <v>1.57</v>
      </c>
      <c r="I93" s="82">
        <v>2.35</v>
      </c>
      <c r="J93" s="82">
        <v>1.51</v>
      </c>
      <c r="K93" s="82">
        <v>0.71</v>
      </c>
      <c r="L93" s="82">
        <v>6.16</v>
      </c>
      <c r="M93" s="82">
        <v>4</v>
      </c>
      <c r="N93" s="82">
        <v>5.55</v>
      </c>
      <c r="O93" s="82">
        <v>15.73</v>
      </c>
      <c r="P93" s="78">
        <f t="shared" si="1"/>
        <v>12.345679012345679</v>
      </c>
    </row>
    <row r="94" spans="1:16" x14ac:dyDescent="0.25">
      <c r="A94" s="5" t="s">
        <v>147</v>
      </c>
      <c r="B94" s="78">
        <v>28</v>
      </c>
      <c r="C94" s="5" t="s">
        <v>39</v>
      </c>
      <c r="D94" s="79">
        <v>80300</v>
      </c>
      <c r="E94" s="80">
        <v>180</v>
      </c>
      <c r="F94" s="80">
        <v>10</v>
      </c>
      <c r="G94" s="81">
        <v>7.0000000000000007E-2</v>
      </c>
      <c r="H94" s="82">
        <v>1.35</v>
      </c>
      <c r="I94" s="82">
        <v>2.38</v>
      </c>
      <c r="J94" s="82">
        <v>1.56</v>
      </c>
      <c r="K94" s="82">
        <v>0.67</v>
      </c>
      <c r="L94" s="82">
        <v>5.97</v>
      </c>
      <c r="M94" s="82">
        <v>4.13</v>
      </c>
      <c r="N94" s="82">
        <v>5.2</v>
      </c>
      <c r="O94" s="82">
        <v>15.32</v>
      </c>
      <c r="P94" s="78">
        <f t="shared" si="1"/>
        <v>14.285714285714285</v>
      </c>
    </row>
    <row r="95" spans="1:16" x14ac:dyDescent="0.25">
      <c r="A95" s="5" t="s">
        <v>148</v>
      </c>
      <c r="B95" s="78">
        <v>32</v>
      </c>
      <c r="C95" s="5" t="s">
        <v>39</v>
      </c>
      <c r="D95" s="79">
        <v>88500</v>
      </c>
      <c r="E95" s="80">
        <v>180</v>
      </c>
      <c r="F95" s="80">
        <v>10</v>
      </c>
      <c r="G95" s="81">
        <v>6.0999999999999999E-2</v>
      </c>
      <c r="H95" s="82">
        <v>1.18</v>
      </c>
      <c r="I95" s="82">
        <v>2.08</v>
      </c>
      <c r="J95" s="82">
        <v>1.5</v>
      </c>
      <c r="K95" s="82">
        <v>0.57999999999999996</v>
      </c>
      <c r="L95" s="82">
        <v>5.37</v>
      </c>
      <c r="M95" s="82">
        <v>3.98</v>
      </c>
      <c r="N95" s="82">
        <v>4.55</v>
      </c>
      <c r="O95" s="82">
        <v>13.91</v>
      </c>
      <c r="P95" s="78">
        <f t="shared" si="1"/>
        <v>16.393442622950818</v>
      </c>
    </row>
    <row r="96" spans="1:16" x14ac:dyDescent="0.25">
      <c r="A96" s="5" t="s">
        <v>149</v>
      </c>
      <c r="B96" s="78">
        <v>42</v>
      </c>
      <c r="C96" s="5" t="s">
        <v>39</v>
      </c>
      <c r="D96" s="79">
        <v>144000</v>
      </c>
      <c r="E96" s="80">
        <v>180</v>
      </c>
      <c r="F96" s="80">
        <v>10</v>
      </c>
      <c r="G96" s="81">
        <v>4.5999999999999999E-2</v>
      </c>
      <c r="H96" s="82">
        <v>0.9</v>
      </c>
      <c r="I96" s="82">
        <v>1.59</v>
      </c>
      <c r="J96" s="82">
        <v>1.87</v>
      </c>
      <c r="K96" s="82">
        <v>0.44</v>
      </c>
      <c r="L96" s="82">
        <v>4.8099999999999996</v>
      </c>
      <c r="M96" s="82">
        <v>4.9400000000000004</v>
      </c>
      <c r="N96" s="82">
        <v>3.47</v>
      </c>
      <c r="O96" s="82">
        <v>13.22</v>
      </c>
      <c r="P96" s="78">
        <f t="shared" si="1"/>
        <v>21.739130434782609</v>
      </c>
    </row>
    <row r="97" spans="1:16" x14ac:dyDescent="0.25">
      <c r="A97" s="72" t="s">
        <v>150</v>
      </c>
      <c r="B97" s="73">
        <v>14</v>
      </c>
      <c r="C97" s="72" t="s">
        <v>36</v>
      </c>
      <c r="D97" s="74">
        <v>36300</v>
      </c>
      <c r="E97" s="75">
        <v>180</v>
      </c>
      <c r="F97" s="75">
        <v>10</v>
      </c>
      <c r="G97" s="76">
        <v>0.14499999999999999</v>
      </c>
      <c r="H97" s="77">
        <v>2.81</v>
      </c>
      <c r="I97" s="77">
        <v>3.31</v>
      </c>
      <c r="J97" s="77">
        <v>1.48</v>
      </c>
      <c r="K97" s="77">
        <v>0.88</v>
      </c>
      <c r="L97" s="77">
        <v>8.49</v>
      </c>
      <c r="M97" s="77">
        <v>3.92</v>
      </c>
      <c r="N97" s="77">
        <v>6.62</v>
      </c>
      <c r="O97" s="77">
        <v>19.03</v>
      </c>
      <c r="P97" s="73">
        <f t="shared" si="1"/>
        <v>6.8965517241379315</v>
      </c>
    </row>
    <row r="98" spans="1:16" x14ac:dyDescent="0.25">
      <c r="A98" s="72" t="s">
        <v>151</v>
      </c>
      <c r="B98" s="73">
        <v>20</v>
      </c>
      <c r="C98" s="72" t="s">
        <v>38</v>
      </c>
      <c r="D98" s="74">
        <v>83500</v>
      </c>
      <c r="E98" s="75">
        <v>180</v>
      </c>
      <c r="F98" s="75">
        <v>10</v>
      </c>
      <c r="G98" s="76">
        <v>9.7000000000000003E-2</v>
      </c>
      <c r="H98" s="77">
        <v>1.87</v>
      </c>
      <c r="I98" s="77">
        <v>2.79</v>
      </c>
      <c r="J98" s="77">
        <v>2.25</v>
      </c>
      <c r="K98" s="77">
        <v>0.85</v>
      </c>
      <c r="L98" s="77">
        <v>7.78</v>
      </c>
      <c r="M98" s="77">
        <v>5.96</v>
      </c>
      <c r="N98" s="77">
        <v>6.6</v>
      </c>
      <c r="O98" s="77">
        <v>20.350000000000001</v>
      </c>
      <c r="P98" s="73">
        <f t="shared" si="1"/>
        <v>10.309278350515463</v>
      </c>
    </row>
    <row r="99" spans="1:16" x14ac:dyDescent="0.25">
      <c r="A99" s="72" t="s">
        <v>152</v>
      </c>
      <c r="B99" s="73">
        <v>28</v>
      </c>
      <c r="C99" s="72" t="s">
        <v>39</v>
      </c>
      <c r="D99" s="74">
        <v>80300</v>
      </c>
      <c r="E99" s="75">
        <v>180</v>
      </c>
      <c r="F99" s="75">
        <v>10</v>
      </c>
      <c r="G99" s="76">
        <v>7.4999999999999997E-2</v>
      </c>
      <c r="H99" s="77">
        <v>1.45</v>
      </c>
      <c r="I99" s="77">
        <v>2.57</v>
      </c>
      <c r="J99" s="77">
        <v>1.68</v>
      </c>
      <c r="K99" s="77">
        <v>0.72</v>
      </c>
      <c r="L99" s="77">
        <v>6.45</v>
      </c>
      <c r="M99" s="77">
        <v>4.46</v>
      </c>
      <c r="N99" s="77">
        <v>5.61</v>
      </c>
      <c r="O99" s="77">
        <v>16.52</v>
      </c>
      <c r="P99" s="73">
        <f t="shared" si="1"/>
        <v>13.333333333333334</v>
      </c>
    </row>
    <row r="100" spans="1:16" x14ac:dyDescent="0.25">
      <c r="A100" s="5" t="s">
        <v>153</v>
      </c>
      <c r="B100" s="78">
        <v>15</v>
      </c>
      <c r="C100" s="5" t="s">
        <v>39</v>
      </c>
      <c r="D100" s="79">
        <v>68600</v>
      </c>
      <c r="E100" s="80">
        <v>180</v>
      </c>
      <c r="F100" s="80">
        <v>10</v>
      </c>
      <c r="G100" s="81">
        <v>0.13600000000000001</v>
      </c>
      <c r="H100" s="82">
        <v>2.62</v>
      </c>
      <c r="I100" s="82">
        <v>4.63</v>
      </c>
      <c r="J100" s="82">
        <v>2.59</v>
      </c>
      <c r="K100" s="82">
        <v>1.3</v>
      </c>
      <c r="L100" s="82">
        <v>11.16</v>
      </c>
      <c r="M100" s="82">
        <v>6.86</v>
      </c>
      <c r="N100" s="82">
        <v>10.1</v>
      </c>
      <c r="O100" s="82">
        <v>28.13</v>
      </c>
      <c r="P100" s="78">
        <f t="shared" si="1"/>
        <v>7.3529411764705879</v>
      </c>
    </row>
    <row r="101" spans="1:16" x14ac:dyDescent="0.25">
      <c r="A101" s="72" t="s">
        <v>154</v>
      </c>
      <c r="B101" s="83" t="s">
        <v>0</v>
      </c>
      <c r="C101" s="72" t="s">
        <v>33</v>
      </c>
      <c r="D101" s="74">
        <v>6760</v>
      </c>
      <c r="E101" s="75">
        <v>200</v>
      </c>
      <c r="F101" s="75">
        <v>10</v>
      </c>
      <c r="G101" s="76">
        <v>0.02</v>
      </c>
      <c r="H101" s="77">
        <v>0.38</v>
      </c>
      <c r="I101" s="77">
        <v>0.39</v>
      </c>
      <c r="J101" s="77">
        <v>0.05</v>
      </c>
      <c r="K101" s="77">
        <v>0.09</v>
      </c>
      <c r="L101" s="77">
        <v>0.92</v>
      </c>
      <c r="M101" s="77">
        <v>0.08</v>
      </c>
      <c r="N101" s="77">
        <v>0.67</v>
      </c>
      <c r="O101" s="77">
        <v>1.68</v>
      </c>
      <c r="P101" s="73">
        <f t="shared" si="1"/>
        <v>50</v>
      </c>
    </row>
    <row r="102" spans="1:16" x14ac:dyDescent="0.25">
      <c r="A102" s="72" t="s">
        <v>155</v>
      </c>
      <c r="B102" s="83" t="s">
        <v>0</v>
      </c>
      <c r="C102" s="72" t="s">
        <v>33</v>
      </c>
      <c r="D102" s="74">
        <v>6760</v>
      </c>
      <c r="E102" s="75">
        <v>200</v>
      </c>
      <c r="F102" s="75">
        <v>10</v>
      </c>
      <c r="G102" s="76">
        <v>0.09</v>
      </c>
      <c r="H102" s="77">
        <v>0.18</v>
      </c>
      <c r="I102" s="77">
        <v>0.18</v>
      </c>
      <c r="J102" s="77">
        <v>0.02</v>
      </c>
      <c r="K102" s="77">
        <v>0.04</v>
      </c>
      <c r="L102" s="77">
        <v>0.43</v>
      </c>
      <c r="M102" s="77">
        <v>0.04</v>
      </c>
      <c r="N102" s="77">
        <v>0.31</v>
      </c>
      <c r="O102" s="77">
        <v>0.79</v>
      </c>
      <c r="P102" s="73">
        <f t="shared" si="1"/>
        <v>11.111111111111111</v>
      </c>
    </row>
    <row r="103" spans="1:16" x14ac:dyDescent="0.25">
      <c r="A103" s="5" t="s">
        <v>156</v>
      </c>
      <c r="B103" s="78">
        <f>(4*38)/12</f>
        <v>12.666666666666666</v>
      </c>
      <c r="C103" s="5" t="s">
        <v>36</v>
      </c>
      <c r="D103" s="79">
        <v>25400</v>
      </c>
      <c r="E103" s="80">
        <v>150</v>
      </c>
      <c r="F103" s="80">
        <v>8</v>
      </c>
      <c r="G103" s="81">
        <v>0.154</v>
      </c>
      <c r="H103" s="82">
        <v>3.68</v>
      </c>
      <c r="I103" s="82">
        <v>3.51</v>
      </c>
      <c r="J103" s="82">
        <v>2.61</v>
      </c>
      <c r="K103" s="82">
        <v>0.93</v>
      </c>
      <c r="L103" s="82">
        <v>10.74</v>
      </c>
      <c r="M103" s="82">
        <v>3.67</v>
      </c>
      <c r="N103" s="82">
        <v>7.01</v>
      </c>
      <c r="O103" s="82">
        <v>21.44</v>
      </c>
      <c r="P103" s="78">
        <f t="shared" si="1"/>
        <v>6.4935064935064934</v>
      </c>
    </row>
    <row r="104" spans="1:16" x14ac:dyDescent="0.25">
      <c r="A104" s="5" t="s">
        <v>157</v>
      </c>
      <c r="B104" s="78">
        <f>(6*30)/12</f>
        <v>15</v>
      </c>
      <c r="C104" s="5" t="s">
        <v>37</v>
      </c>
      <c r="D104" s="79">
        <v>25300</v>
      </c>
      <c r="E104" s="80">
        <v>150</v>
      </c>
      <c r="F104" s="80">
        <v>8</v>
      </c>
      <c r="G104" s="81">
        <v>0.13</v>
      </c>
      <c r="H104" s="82">
        <v>3.11</v>
      </c>
      <c r="I104" s="82">
        <v>3.36</v>
      </c>
      <c r="J104" s="82">
        <v>2.2000000000000002</v>
      </c>
      <c r="K104" s="82">
        <v>0.89</v>
      </c>
      <c r="L104" s="82">
        <v>9.58</v>
      </c>
      <c r="M104" s="82">
        <v>3.1</v>
      </c>
      <c r="N104" s="82">
        <v>6.91</v>
      </c>
      <c r="O104" s="82">
        <v>19.600000000000001</v>
      </c>
      <c r="P104" s="78">
        <f t="shared" si="1"/>
        <v>7.6923076923076916</v>
      </c>
    </row>
    <row r="105" spans="1:16" x14ac:dyDescent="0.25">
      <c r="A105" s="5" t="s">
        <v>158</v>
      </c>
      <c r="B105" s="78">
        <f>(6*38)/12</f>
        <v>19</v>
      </c>
      <c r="C105" s="5" t="s">
        <v>37</v>
      </c>
      <c r="D105" s="79">
        <v>25300</v>
      </c>
      <c r="E105" s="80">
        <v>150</v>
      </c>
      <c r="F105" s="80">
        <v>8</v>
      </c>
      <c r="G105" s="81">
        <v>0.13</v>
      </c>
      <c r="H105" s="82">
        <v>2.46</v>
      </c>
      <c r="I105" s="82">
        <v>2.65</v>
      </c>
      <c r="J105" s="82">
        <v>1.74</v>
      </c>
      <c r="K105" s="82">
        <v>0.7</v>
      </c>
      <c r="L105" s="82">
        <v>7.57</v>
      </c>
      <c r="M105" s="82">
        <v>2.44</v>
      </c>
      <c r="N105" s="82">
        <v>5.45</v>
      </c>
      <c r="O105" s="82">
        <v>15.47</v>
      </c>
      <c r="P105" s="78">
        <f t="shared" si="1"/>
        <v>7.6923076923076916</v>
      </c>
    </row>
    <row r="106" spans="1:16" x14ac:dyDescent="0.25">
      <c r="A106" s="5" t="s">
        <v>159</v>
      </c>
      <c r="B106" s="78">
        <f>(8*30)/12</f>
        <v>20</v>
      </c>
      <c r="C106" s="5" t="s">
        <v>38</v>
      </c>
      <c r="D106" s="79">
        <v>26300</v>
      </c>
      <c r="E106" s="80">
        <v>150</v>
      </c>
      <c r="F106" s="80">
        <v>8</v>
      </c>
      <c r="G106" s="81">
        <v>9.8000000000000004E-2</v>
      </c>
      <c r="H106" s="82">
        <v>2.33</v>
      </c>
      <c r="I106" s="82">
        <v>2.82</v>
      </c>
      <c r="J106" s="82">
        <v>1.72</v>
      </c>
      <c r="K106" s="82">
        <v>0.86</v>
      </c>
      <c r="L106" s="82">
        <v>7.74</v>
      </c>
      <c r="M106" s="82">
        <v>2.41</v>
      </c>
      <c r="N106" s="82">
        <v>6.66</v>
      </c>
      <c r="O106" s="82">
        <v>16.829999999999998</v>
      </c>
      <c r="P106" s="78">
        <f t="shared" si="1"/>
        <v>10.204081632653061</v>
      </c>
    </row>
    <row r="107" spans="1:16" x14ac:dyDescent="0.25">
      <c r="A107" s="5" t="s">
        <v>160</v>
      </c>
      <c r="B107" s="78">
        <f>(8*38)/12</f>
        <v>25.333333333333332</v>
      </c>
      <c r="C107" s="5" t="s">
        <v>38</v>
      </c>
      <c r="D107" s="79">
        <v>29500</v>
      </c>
      <c r="E107" s="80">
        <v>150</v>
      </c>
      <c r="F107" s="80">
        <v>8</v>
      </c>
      <c r="G107" s="81">
        <v>7.6999999999999999E-2</v>
      </c>
      <c r="H107" s="82">
        <v>1.84</v>
      </c>
      <c r="I107" s="82">
        <v>2.23</v>
      </c>
      <c r="J107" s="82">
        <v>1.52</v>
      </c>
      <c r="K107" s="82">
        <v>0.68</v>
      </c>
      <c r="L107" s="82">
        <v>6.28</v>
      </c>
      <c r="M107" s="82">
        <v>2.14</v>
      </c>
      <c r="N107" s="82">
        <v>5.27</v>
      </c>
      <c r="O107" s="82">
        <v>13.7</v>
      </c>
      <c r="P107" s="78">
        <f t="shared" si="1"/>
        <v>12.987012987012987</v>
      </c>
    </row>
    <row r="108" spans="1:16" x14ac:dyDescent="0.25">
      <c r="A108" s="5" t="s">
        <v>161</v>
      </c>
      <c r="B108" s="78">
        <f>(8*38)/12</f>
        <v>25.333333333333332</v>
      </c>
      <c r="C108" s="5" t="s">
        <v>38</v>
      </c>
      <c r="D108" s="79">
        <v>32900</v>
      </c>
      <c r="E108" s="80">
        <v>150</v>
      </c>
      <c r="F108" s="80">
        <v>8</v>
      </c>
      <c r="G108" s="81">
        <v>5.0999999999999997E-2</v>
      </c>
      <c r="H108" s="82">
        <v>1.23</v>
      </c>
      <c r="I108" s="82">
        <v>1.48</v>
      </c>
      <c r="J108" s="82">
        <v>1.1299999999999999</v>
      </c>
      <c r="K108" s="82">
        <v>0.45</v>
      </c>
      <c r="L108" s="82">
        <v>4.3</v>
      </c>
      <c r="M108" s="82">
        <v>1.59</v>
      </c>
      <c r="N108" s="82">
        <v>3.51</v>
      </c>
      <c r="O108" s="82">
        <v>9.4</v>
      </c>
      <c r="P108" s="78">
        <f t="shared" si="1"/>
        <v>19.607843137254903</v>
      </c>
    </row>
    <row r="109" spans="1:16" x14ac:dyDescent="0.25">
      <c r="A109" s="5" t="s">
        <v>162</v>
      </c>
      <c r="B109" s="78">
        <f>(12*30)/12</f>
        <v>30</v>
      </c>
      <c r="C109" s="5" t="s">
        <v>39</v>
      </c>
      <c r="D109" s="79">
        <v>36900</v>
      </c>
      <c r="E109" s="80">
        <v>150</v>
      </c>
      <c r="F109" s="80">
        <v>8</v>
      </c>
      <c r="G109" s="81">
        <v>7.8E-2</v>
      </c>
      <c r="H109" s="82">
        <v>1.87</v>
      </c>
      <c r="I109" s="82">
        <v>2.67</v>
      </c>
      <c r="J109" s="82">
        <v>1.93</v>
      </c>
      <c r="K109" s="82">
        <v>0.75</v>
      </c>
      <c r="L109" s="82">
        <v>7.23</v>
      </c>
      <c r="M109" s="82">
        <v>2.71</v>
      </c>
      <c r="N109" s="82">
        <v>5.82</v>
      </c>
      <c r="O109" s="82">
        <v>15.77</v>
      </c>
      <c r="P109" s="78">
        <f t="shared" si="1"/>
        <v>12.820512820512821</v>
      </c>
    </row>
    <row r="110" spans="1:16" x14ac:dyDescent="0.25">
      <c r="A110" s="5" t="s">
        <v>163</v>
      </c>
      <c r="B110" s="78">
        <f>(12*38)/12</f>
        <v>38</v>
      </c>
      <c r="C110" s="5" t="s">
        <v>39</v>
      </c>
      <c r="D110" s="79">
        <v>31100</v>
      </c>
      <c r="E110" s="80">
        <v>150</v>
      </c>
      <c r="F110" s="80">
        <v>8</v>
      </c>
      <c r="G110" s="81">
        <v>5.0999999999999997E-2</v>
      </c>
      <c r="H110" s="82">
        <v>1.23</v>
      </c>
      <c r="I110" s="82">
        <v>1.75</v>
      </c>
      <c r="J110" s="82">
        <v>1.07</v>
      </c>
      <c r="K110" s="82">
        <v>0.49</v>
      </c>
      <c r="L110" s="82">
        <v>4.55</v>
      </c>
      <c r="M110" s="82">
        <v>1.5</v>
      </c>
      <c r="N110" s="82">
        <v>3.83</v>
      </c>
      <c r="O110" s="82">
        <v>9.89</v>
      </c>
      <c r="P110" s="78">
        <f t="shared" si="1"/>
        <v>19.607843137254903</v>
      </c>
    </row>
    <row r="111" spans="1:16" x14ac:dyDescent="0.25">
      <c r="A111" s="72" t="s">
        <v>164</v>
      </c>
      <c r="B111" s="73">
        <v>42</v>
      </c>
      <c r="C111" s="72" t="s">
        <v>39</v>
      </c>
      <c r="D111" s="74">
        <v>101000</v>
      </c>
      <c r="E111" s="75">
        <v>100</v>
      </c>
      <c r="F111" s="75">
        <v>10</v>
      </c>
      <c r="G111" s="76">
        <v>3.6999999999999998E-2</v>
      </c>
      <c r="H111" s="77">
        <v>0.89</v>
      </c>
      <c r="I111" s="77">
        <v>1.28</v>
      </c>
      <c r="J111" s="77">
        <v>0.95</v>
      </c>
      <c r="K111" s="77">
        <v>0.36</v>
      </c>
      <c r="L111" s="77">
        <v>3.5</v>
      </c>
      <c r="M111" s="77">
        <v>5.04</v>
      </c>
      <c r="N111" s="77">
        <v>2.8</v>
      </c>
      <c r="O111" s="77">
        <v>11.34</v>
      </c>
      <c r="P111" s="73">
        <f t="shared" si="1"/>
        <v>27.027027027027028</v>
      </c>
    </row>
    <row r="112" spans="1:16" x14ac:dyDescent="0.25">
      <c r="A112" s="72" t="s">
        <v>165</v>
      </c>
      <c r="B112" s="73">
        <v>50</v>
      </c>
      <c r="C112" s="72" t="s">
        <v>39</v>
      </c>
      <c r="D112" s="74">
        <v>112000</v>
      </c>
      <c r="E112" s="75">
        <v>100</v>
      </c>
      <c r="F112" s="75">
        <v>10</v>
      </c>
      <c r="G112" s="76">
        <v>3.1E-2</v>
      </c>
      <c r="H112" s="77">
        <v>0.75</v>
      </c>
      <c r="I112" s="77">
        <v>1.08</v>
      </c>
      <c r="J112" s="77">
        <v>0.88</v>
      </c>
      <c r="K112" s="77">
        <v>0.3</v>
      </c>
      <c r="L112" s="77">
        <v>3.02</v>
      </c>
      <c r="M112" s="77">
        <v>4.6900000000000004</v>
      </c>
      <c r="N112" s="77">
        <v>2.35</v>
      </c>
      <c r="O112" s="77">
        <v>10.08</v>
      </c>
      <c r="P112" s="73">
        <f t="shared" si="1"/>
        <v>32.258064516129032</v>
      </c>
    </row>
    <row r="113" spans="1:16" x14ac:dyDescent="0.25">
      <c r="A113" s="72" t="s">
        <v>166</v>
      </c>
      <c r="B113" s="73">
        <v>24</v>
      </c>
      <c r="C113" s="72" t="s">
        <v>37</v>
      </c>
      <c r="D113" s="74">
        <v>56100</v>
      </c>
      <c r="E113" s="75">
        <v>100</v>
      </c>
      <c r="F113" s="75">
        <v>10</v>
      </c>
      <c r="G113" s="76">
        <v>6.6000000000000003E-2</v>
      </c>
      <c r="H113" s="77">
        <v>1.57</v>
      </c>
      <c r="I113" s="77">
        <v>1.7</v>
      </c>
      <c r="J113" s="77">
        <v>0.92</v>
      </c>
      <c r="K113" s="77">
        <v>0.45</v>
      </c>
      <c r="L113" s="77">
        <v>4.6500000000000004</v>
      </c>
      <c r="M113" s="77">
        <v>4.9000000000000004</v>
      </c>
      <c r="N113" s="77">
        <v>3.49</v>
      </c>
      <c r="O113" s="77">
        <v>13.04</v>
      </c>
      <c r="P113" s="73">
        <f t="shared" si="1"/>
        <v>15.15151515151515</v>
      </c>
    </row>
    <row r="114" spans="1:16" x14ac:dyDescent="0.25">
      <c r="A114" s="72" t="s">
        <v>167</v>
      </c>
      <c r="B114" s="73">
        <v>32</v>
      </c>
      <c r="C114" s="72" t="s">
        <v>38</v>
      </c>
      <c r="D114" s="74">
        <v>72400</v>
      </c>
      <c r="E114" s="75">
        <v>100</v>
      </c>
      <c r="F114" s="75">
        <v>10</v>
      </c>
      <c r="G114" s="76">
        <v>4.9000000000000002E-2</v>
      </c>
      <c r="H114" s="77">
        <v>1.18</v>
      </c>
      <c r="I114" s="77">
        <v>1.42</v>
      </c>
      <c r="J114" s="77">
        <v>0.89</v>
      </c>
      <c r="K114" s="77">
        <v>0.43</v>
      </c>
      <c r="L114" s="77">
        <v>3.93</v>
      </c>
      <c r="M114" s="77">
        <v>4.74</v>
      </c>
      <c r="N114" s="77">
        <v>3.36</v>
      </c>
      <c r="O114" s="77">
        <v>12.05</v>
      </c>
      <c r="P114" s="73">
        <f t="shared" si="1"/>
        <v>20.408163265306122</v>
      </c>
    </row>
    <row r="115" spans="1:16" x14ac:dyDescent="0.25">
      <c r="A115" s="72" t="s">
        <v>168</v>
      </c>
      <c r="B115" s="73">
        <v>12</v>
      </c>
      <c r="C115" s="72" t="s">
        <v>35</v>
      </c>
      <c r="D115" s="74">
        <v>23900</v>
      </c>
      <c r="E115" s="75">
        <v>100</v>
      </c>
      <c r="F115" s="75">
        <v>10</v>
      </c>
      <c r="G115" s="76">
        <v>0.13200000000000001</v>
      </c>
      <c r="H115" s="77">
        <v>3.14</v>
      </c>
      <c r="I115" s="77">
        <v>3</v>
      </c>
      <c r="J115" s="77">
        <v>0.78</v>
      </c>
      <c r="K115" s="77">
        <v>0.69</v>
      </c>
      <c r="L115" s="77">
        <v>7.63</v>
      </c>
      <c r="M115" s="77">
        <v>4.17</v>
      </c>
      <c r="N115" s="77">
        <v>5.18</v>
      </c>
      <c r="O115" s="77">
        <v>16.989999999999998</v>
      </c>
      <c r="P115" s="73">
        <f t="shared" si="1"/>
        <v>7.5757575757575752</v>
      </c>
    </row>
    <row r="116" spans="1:16" x14ac:dyDescent="0.25">
      <c r="A116" s="72" t="s">
        <v>169</v>
      </c>
      <c r="B116" s="73">
        <v>24</v>
      </c>
      <c r="C116" s="72" t="s">
        <v>37</v>
      </c>
      <c r="D116" s="74">
        <v>50000</v>
      </c>
      <c r="E116" s="75">
        <v>100</v>
      </c>
      <c r="F116" s="75">
        <v>10</v>
      </c>
      <c r="G116" s="76">
        <v>6.2E-2</v>
      </c>
      <c r="H116" s="77">
        <v>1.19</v>
      </c>
      <c r="I116" s="77">
        <v>1.6</v>
      </c>
      <c r="J116" s="77">
        <v>0.77</v>
      </c>
      <c r="K116" s="77">
        <v>0.42</v>
      </c>
      <c r="L116" s="77">
        <v>4</v>
      </c>
      <c r="M116" s="77">
        <v>4.1100000000000003</v>
      </c>
      <c r="N116" s="77">
        <v>3.28</v>
      </c>
      <c r="O116" s="77">
        <v>11.4</v>
      </c>
      <c r="P116" s="73">
        <f t="shared" si="1"/>
        <v>16.129032258064516</v>
      </c>
    </row>
    <row r="117" spans="1:16" x14ac:dyDescent="0.25">
      <c r="A117" s="72" t="s">
        <v>170</v>
      </c>
      <c r="B117" s="73">
        <v>32</v>
      </c>
      <c r="C117" s="72" t="s">
        <v>38</v>
      </c>
      <c r="D117" s="74">
        <v>66300</v>
      </c>
      <c r="E117" s="75">
        <v>100</v>
      </c>
      <c r="F117" s="75">
        <v>10</v>
      </c>
      <c r="G117" s="76">
        <v>4.5999999999999999E-2</v>
      </c>
      <c r="H117" s="77">
        <v>0.89</v>
      </c>
      <c r="I117" s="77">
        <v>1.34</v>
      </c>
      <c r="J117" s="77">
        <v>0.77</v>
      </c>
      <c r="K117" s="77">
        <v>0.4</v>
      </c>
      <c r="L117" s="77">
        <v>3.42</v>
      </c>
      <c r="M117" s="77">
        <v>4.08</v>
      </c>
      <c r="N117" s="77">
        <v>3.16</v>
      </c>
      <c r="O117" s="77">
        <v>10.68</v>
      </c>
      <c r="P117" s="73">
        <f t="shared" si="1"/>
        <v>21.739130434782609</v>
      </c>
    </row>
    <row r="118" spans="1:16" x14ac:dyDescent="0.25">
      <c r="A118" s="72" t="s">
        <v>171</v>
      </c>
      <c r="B118" s="73">
        <v>42</v>
      </c>
      <c r="C118" s="72" t="s">
        <v>39</v>
      </c>
      <c r="D118" s="74">
        <v>90700</v>
      </c>
      <c r="E118" s="75">
        <v>100</v>
      </c>
      <c r="F118" s="75">
        <v>10</v>
      </c>
      <c r="G118" s="76">
        <v>3.5000000000000003E-2</v>
      </c>
      <c r="H118" s="77">
        <v>0.68</v>
      </c>
      <c r="I118" s="77">
        <v>1.21</v>
      </c>
      <c r="J118" s="77">
        <v>0.8</v>
      </c>
      <c r="K118" s="77">
        <v>0.34</v>
      </c>
      <c r="L118" s="77">
        <v>3.04</v>
      </c>
      <c r="M118" s="77">
        <v>4.26</v>
      </c>
      <c r="N118" s="77">
        <v>2.63</v>
      </c>
      <c r="O118" s="77">
        <v>9.94</v>
      </c>
      <c r="P118" s="73">
        <f t="shared" si="1"/>
        <v>28.571428571428569</v>
      </c>
    </row>
    <row r="119" spans="1:16" x14ac:dyDescent="0.25">
      <c r="A119" s="72" t="s">
        <v>172</v>
      </c>
      <c r="B119" s="73">
        <v>50</v>
      </c>
      <c r="C119" s="72" t="s">
        <v>39</v>
      </c>
      <c r="D119" s="74">
        <v>98000</v>
      </c>
      <c r="E119" s="75">
        <v>100</v>
      </c>
      <c r="F119" s="75">
        <v>10</v>
      </c>
      <c r="G119" s="76">
        <v>2.9000000000000001E-2</v>
      </c>
      <c r="H119" s="77">
        <v>0.56999999999999995</v>
      </c>
      <c r="I119" s="77">
        <v>1.01</v>
      </c>
      <c r="J119" s="77">
        <v>0.73</v>
      </c>
      <c r="K119" s="77">
        <v>0.28000000000000003</v>
      </c>
      <c r="L119" s="77">
        <v>2.61</v>
      </c>
      <c r="M119" s="77">
        <v>3.86</v>
      </c>
      <c r="N119" s="77">
        <v>2.21</v>
      </c>
      <c r="O119" s="77">
        <v>8.69</v>
      </c>
      <c r="P119" s="73">
        <f t="shared" si="1"/>
        <v>34.482758620689651</v>
      </c>
    </row>
    <row r="120" spans="1:16" x14ac:dyDescent="0.25">
      <c r="A120" s="72" t="s">
        <v>173</v>
      </c>
      <c r="B120" s="73">
        <v>12</v>
      </c>
      <c r="C120" s="72" t="s">
        <v>35</v>
      </c>
      <c r="D120" s="74">
        <v>17800</v>
      </c>
      <c r="E120" s="75">
        <v>100</v>
      </c>
      <c r="F120" s="75">
        <v>10</v>
      </c>
      <c r="G120" s="76">
        <v>0.124</v>
      </c>
      <c r="H120" s="77">
        <v>2.39</v>
      </c>
      <c r="I120" s="77">
        <v>2.82</v>
      </c>
      <c r="J120" s="77">
        <v>0.55000000000000004</v>
      </c>
      <c r="K120" s="77">
        <v>0.65</v>
      </c>
      <c r="L120" s="77">
        <v>6.42</v>
      </c>
      <c r="M120" s="77">
        <v>2.92</v>
      </c>
      <c r="N120" s="77">
        <v>4.87</v>
      </c>
      <c r="O120" s="77">
        <v>14.23</v>
      </c>
      <c r="P120" s="73">
        <f t="shared" si="1"/>
        <v>8.064516129032258</v>
      </c>
    </row>
    <row r="121" spans="1:16" x14ac:dyDescent="0.25">
      <c r="A121" s="5" t="s">
        <v>174</v>
      </c>
      <c r="B121" s="84" t="s">
        <v>0</v>
      </c>
      <c r="C121" s="5" t="s">
        <v>38</v>
      </c>
      <c r="D121" s="79">
        <v>36400</v>
      </c>
      <c r="E121" s="80">
        <v>200</v>
      </c>
      <c r="F121" s="80">
        <v>12</v>
      </c>
      <c r="G121" s="81">
        <v>2.5000000000000001E-2</v>
      </c>
      <c r="H121" s="82">
        <v>0.48</v>
      </c>
      <c r="I121" s="82">
        <v>0.72</v>
      </c>
      <c r="J121" s="82">
        <v>0.24</v>
      </c>
      <c r="K121" s="82">
        <v>0.22</v>
      </c>
      <c r="L121" s="82">
        <v>1.68</v>
      </c>
      <c r="M121" s="82">
        <v>0.55000000000000004</v>
      </c>
      <c r="N121" s="82">
        <v>1.71</v>
      </c>
      <c r="O121" s="82">
        <v>3.96</v>
      </c>
      <c r="P121" s="78">
        <f t="shared" si="1"/>
        <v>40</v>
      </c>
    </row>
    <row r="122" spans="1:16" x14ac:dyDescent="0.25">
      <c r="A122" s="5" t="s">
        <v>175</v>
      </c>
      <c r="B122" s="84" t="s">
        <v>0</v>
      </c>
      <c r="C122" s="5" t="s">
        <v>38</v>
      </c>
      <c r="D122" s="79">
        <v>49900</v>
      </c>
      <c r="E122" s="80">
        <v>200</v>
      </c>
      <c r="F122" s="80">
        <v>12</v>
      </c>
      <c r="G122" s="81">
        <v>2.5000000000000001E-2</v>
      </c>
      <c r="H122" s="82">
        <v>0.48</v>
      </c>
      <c r="I122" s="82">
        <v>0.72</v>
      </c>
      <c r="J122" s="82">
        <v>0.34</v>
      </c>
      <c r="K122" s="82">
        <v>0.22</v>
      </c>
      <c r="L122" s="82">
        <v>1.77</v>
      </c>
      <c r="M122" s="82">
        <v>0.76</v>
      </c>
      <c r="N122" s="82">
        <v>1.71</v>
      </c>
      <c r="O122" s="82">
        <v>4.26</v>
      </c>
      <c r="P122" s="78">
        <f t="shared" si="1"/>
        <v>40</v>
      </c>
    </row>
    <row r="123" spans="1:16" x14ac:dyDescent="0.25">
      <c r="A123" s="5" t="s">
        <v>176</v>
      </c>
      <c r="B123" s="84" t="s">
        <v>0</v>
      </c>
      <c r="C123" s="5" t="s">
        <v>39</v>
      </c>
      <c r="D123" s="79">
        <v>71700</v>
      </c>
      <c r="E123" s="80">
        <v>200</v>
      </c>
      <c r="F123" s="80">
        <v>12</v>
      </c>
      <c r="G123" s="81">
        <v>2.5000000000000001E-2</v>
      </c>
      <c r="H123" s="82">
        <v>0.48</v>
      </c>
      <c r="I123" s="82">
        <v>0.86</v>
      </c>
      <c r="J123" s="82">
        <v>0.49</v>
      </c>
      <c r="K123" s="82">
        <v>0.24</v>
      </c>
      <c r="L123" s="82">
        <v>2.08</v>
      </c>
      <c r="M123" s="82">
        <v>1.0900000000000001</v>
      </c>
      <c r="N123" s="82">
        <v>1.87</v>
      </c>
      <c r="O123" s="82">
        <v>5.05</v>
      </c>
      <c r="P123" s="78">
        <f t="shared" si="1"/>
        <v>40</v>
      </c>
    </row>
    <row r="124" spans="1:16" x14ac:dyDescent="0.25">
      <c r="A124" s="5" t="s">
        <v>177</v>
      </c>
      <c r="B124" s="84" t="s">
        <v>0</v>
      </c>
      <c r="C124" s="5" t="s">
        <v>38</v>
      </c>
      <c r="D124" s="79">
        <v>36400</v>
      </c>
      <c r="E124" s="80">
        <v>200</v>
      </c>
      <c r="F124" s="80">
        <v>12</v>
      </c>
      <c r="G124" s="81">
        <v>6.2E-2</v>
      </c>
      <c r="H124" s="82">
        <v>1.2</v>
      </c>
      <c r="I124" s="82">
        <v>1.79</v>
      </c>
      <c r="J124" s="82">
        <v>0.61</v>
      </c>
      <c r="K124" s="82">
        <v>0.54</v>
      </c>
      <c r="L124" s="82">
        <v>4.16</v>
      </c>
      <c r="M124" s="82">
        <v>1.37</v>
      </c>
      <c r="N124" s="82">
        <v>4.24</v>
      </c>
      <c r="O124" s="82">
        <v>9.7799999999999994</v>
      </c>
      <c r="P124" s="78">
        <f t="shared" si="1"/>
        <v>16.129032258064516</v>
      </c>
    </row>
    <row r="125" spans="1:16" x14ac:dyDescent="0.25">
      <c r="A125" s="5" t="s">
        <v>178</v>
      </c>
      <c r="B125" s="84" t="s">
        <v>0</v>
      </c>
      <c r="C125" s="5" t="s">
        <v>38</v>
      </c>
      <c r="D125" s="79">
        <v>49900</v>
      </c>
      <c r="E125" s="80">
        <v>200</v>
      </c>
      <c r="F125" s="80">
        <v>12</v>
      </c>
      <c r="G125" s="81">
        <v>5.5E-2</v>
      </c>
      <c r="H125" s="82">
        <v>1.06</v>
      </c>
      <c r="I125" s="82">
        <v>1.58</v>
      </c>
      <c r="J125" s="82">
        <v>0.74</v>
      </c>
      <c r="K125" s="82">
        <v>0.48</v>
      </c>
      <c r="L125" s="82">
        <v>3.86</v>
      </c>
      <c r="M125" s="82">
        <v>1.65</v>
      </c>
      <c r="N125" s="82">
        <v>3.73</v>
      </c>
      <c r="O125" s="82">
        <v>9.26</v>
      </c>
      <c r="P125" s="78">
        <f t="shared" si="1"/>
        <v>18.181818181818183</v>
      </c>
    </row>
    <row r="126" spans="1:16" x14ac:dyDescent="0.25">
      <c r="A126" s="5" t="s">
        <v>179</v>
      </c>
      <c r="B126" s="84" t="s">
        <v>0</v>
      </c>
      <c r="C126" s="5" t="s">
        <v>38</v>
      </c>
      <c r="D126" s="79">
        <v>71700</v>
      </c>
      <c r="E126" s="80">
        <v>200</v>
      </c>
      <c r="F126" s="80">
        <v>12</v>
      </c>
      <c r="G126" s="81">
        <v>4.4999999999999998E-2</v>
      </c>
      <c r="H126" s="82">
        <v>0.88</v>
      </c>
      <c r="I126" s="82">
        <v>1.31</v>
      </c>
      <c r="J126" s="82">
        <v>0.89</v>
      </c>
      <c r="K126" s="82">
        <v>0.4</v>
      </c>
      <c r="L126" s="82">
        <v>3.49</v>
      </c>
      <c r="M126" s="82">
        <v>1.98</v>
      </c>
      <c r="N126" s="82">
        <v>3.11</v>
      </c>
      <c r="O126" s="82">
        <v>8.59</v>
      </c>
      <c r="P126" s="78">
        <f t="shared" si="1"/>
        <v>22.222222222222221</v>
      </c>
    </row>
    <row r="127" spans="1:16" x14ac:dyDescent="0.25">
      <c r="A127" s="5" t="s">
        <v>180</v>
      </c>
      <c r="B127" s="84" t="s">
        <v>0</v>
      </c>
      <c r="C127" s="5" t="s">
        <v>38</v>
      </c>
      <c r="D127" s="79">
        <v>36400</v>
      </c>
      <c r="E127" s="80">
        <v>200</v>
      </c>
      <c r="F127" s="80">
        <v>12</v>
      </c>
      <c r="G127" s="81">
        <v>2.5000000000000001E-2</v>
      </c>
      <c r="H127" s="82">
        <v>0.49</v>
      </c>
      <c r="I127" s="82">
        <v>0.73</v>
      </c>
      <c r="J127" s="82">
        <v>0.25</v>
      </c>
      <c r="K127" s="82">
        <v>0.22</v>
      </c>
      <c r="L127" s="82">
        <v>1.7</v>
      </c>
      <c r="M127" s="82">
        <v>0.56000000000000005</v>
      </c>
      <c r="N127" s="82">
        <v>1.73</v>
      </c>
      <c r="O127" s="82">
        <v>3.99</v>
      </c>
      <c r="P127" s="78">
        <f t="shared" si="1"/>
        <v>40</v>
      </c>
    </row>
    <row r="128" spans="1:16" x14ac:dyDescent="0.25">
      <c r="A128" s="5" t="s">
        <v>181</v>
      </c>
      <c r="B128" s="84" t="s">
        <v>0</v>
      </c>
      <c r="C128" s="5" t="s">
        <v>38</v>
      </c>
      <c r="D128" s="79">
        <v>49900</v>
      </c>
      <c r="E128" s="80">
        <v>200</v>
      </c>
      <c r="F128" s="80">
        <v>12</v>
      </c>
      <c r="G128" s="81">
        <v>2.1000000000000001E-2</v>
      </c>
      <c r="H128" s="82">
        <v>0.4</v>
      </c>
      <c r="I128" s="82">
        <v>0.61</v>
      </c>
      <c r="J128" s="82">
        <v>0.28000000000000003</v>
      </c>
      <c r="K128" s="82">
        <v>0.18</v>
      </c>
      <c r="L128" s="82">
        <v>1.49</v>
      </c>
      <c r="M128" s="82">
        <v>0.64</v>
      </c>
      <c r="N128" s="82">
        <v>1.44</v>
      </c>
      <c r="O128" s="82">
        <v>3.57</v>
      </c>
      <c r="P128" s="78">
        <f t="shared" si="1"/>
        <v>47.619047619047613</v>
      </c>
    </row>
    <row r="129" spans="1:16" x14ac:dyDescent="0.25">
      <c r="A129" s="5" t="s">
        <v>182</v>
      </c>
      <c r="B129" s="84" t="s">
        <v>0</v>
      </c>
      <c r="C129" s="5" t="s">
        <v>38</v>
      </c>
      <c r="D129" s="79">
        <v>71700</v>
      </c>
      <c r="E129" s="80">
        <v>200</v>
      </c>
      <c r="F129" s="80">
        <v>12</v>
      </c>
      <c r="G129" s="81">
        <v>2.1000000000000001E-2</v>
      </c>
      <c r="H129" s="82">
        <v>0.4</v>
      </c>
      <c r="I129" s="82">
        <v>0.61</v>
      </c>
      <c r="J129" s="82">
        <v>0.41</v>
      </c>
      <c r="K129" s="82">
        <v>0.18</v>
      </c>
      <c r="L129" s="82">
        <v>1.61</v>
      </c>
      <c r="M129" s="82">
        <v>0.92</v>
      </c>
      <c r="N129" s="82">
        <v>1.44</v>
      </c>
      <c r="O129" s="82">
        <v>3.98</v>
      </c>
      <c r="P129" s="78">
        <f t="shared" si="1"/>
        <v>47.619047619047613</v>
      </c>
    </row>
    <row r="130" spans="1:16" x14ac:dyDescent="0.25">
      <c r="A130" s="5" t="s">
        <v>183</v>
      </c>
      <c r="B130" s="84" t="s">
        <v>0</v>
      </c>
      <c r="C130" s="5" t="s">
        <v>38</v>
      </c>
      <c r="D130" s="79">
        <v>36400</v>
      </c>
      <c r="E130" s="80">
        <v>200</v>
      </c>
      <c r="F130" s="80">
        <v>12</v>
      </c>
      <c r="G130" s="81">
        <v>2.5000000000000001E-2</v>
      </c>
      <c r="H130" s="82">
        <v>0.49</v>
      </c>
      <c r="I130" s="82">
        <v>0.73</v>
      </c>
      <c r="J130" s="82">
        <v>0.25</v>
      </c>
      <c r="K130" s="82">
        <v>0.22</v>
      </c>
      <c r="L130" s="82">
        <v>1.7</v>
      </c>
      <c r="M130" s="82">
        <v>0.56000000000000005</v>
      </c>
      <c r="N130" s="82">
        <v>1.73</v>
      </c>
      <c r="O130" s="82">
        <v>3.99</v>
      </c>
      <c r="P130" s="78">
        <f t="shared" si="1"/>
        <v>40</v>
      </c>
    </row>
    <row r="131" spans="1:16" x14ac:dyDescent="0.25">
      <c r="A131" s="5" t="s">
        <v>184</v>
      </c>
      <c r="B131" s="84" t="s">
        <v>0</v>
      </c>
      <c r="C131" s="5" t="s">
        <v>38</v>
      </c>
      <c r="D131" s="79">
        <v>49900</v>
      </c>
      <c r="E131" s="80">
        <v>200</v>
      </c>
      <c r="F131" s="80">
        <v>12</v>
      </c>
      <c r="G131" s="81">
        <v>2.1000000000000001E-2</v>
      </c>
      <c r="H131" s="82">
        <v>0.4</v>
      </c>
      <c r="I131" s="82">
        <v>0.61</v>
      </c>
      <c r="J131" s="82">
        <v>0.28000000000000003</v>
      </c>
      <c r="K131" s="82">
        <v>0.18</v>
      </c>
      <c r="L131" s="82">
        <v>1.49</v>
      </c>
      <c r="M131" s="82">
        <v>0.64</v>
      </c>
      <c r="N131" s="82">
        <v>1.44</v>
      </c>
      <c r="O131" s="82">
        <v>3.57</v>
      </c>
      <c r="P131" s="78">
        <f t="shared" si="1"/>
        <v>47.619047619047613</v>
      </c>
    </row>
    <row r="132" spans="1:16" x14ac:dyDescent="0.25">
      <c r="A132" s="5" t="s">
        <v>185</v>
      </c>
      <c r="B132" s="84" t="s">
        <v>0</v>
      </c>
      <c r="C132" s="5" t="s">
        <v>38</v>
      </c>
      <c r="D132" s="79">
        <v>71700</v>
      </c>
      <c r="E132" s="80">
        <v>200</v>
      </c>
      <c r="F132" s="80">
        <v>12</v>
      </c>
      <c r="G132" s="81">
        <v>2.1000000000000001E-2</v>
      </c>
      <c r="H132" s="82">
        <v>0.4</v>
      </c>
      <c r="I132" s="82">
        <v>0.61</v>
      </c>
      <c r="J132" s="82">
        <v>0.41</v>
      </c>
      <c r="K132" s="82">
        <v>0.18</v>
      </c>
      <c r="L132" s="82">
        <v>1.61</v>
      </c>
      <c r="M132" s="82">
        <v>0.92</v>
      </c>
      <c r="N132" s="82">
        <v>1.44</v>
      </c>
      <c r="O132" s="82">
        <v>3.98</v>
      </c>
      <c r="P132" s="78">
        <f t="shared" si="1"/>
        <v>47.619047619047613</v>
      </c>
    </row>
    <row r="133" spans="1:16" x14ac:dyDescent="0.25">
      <c r="A133" s="72" t="s">
        <v>186</v>
      </c>
      <c r="B133" s="73">
        <f>(8*38)/12</f>
        <v>25.333333333333332</v>
      </c>
      <c r="C133" s="72" t="s">
        <v>39</v>
      </c>
      <c r="D133" s="74">
        <v>57000</v>
      </c>
      <c r="E133" s="75">
        <v>150</v>
      </c>
      <c r="F133" s="75">
        <v>8</v>
      </c>
      <c r="G133" s="76">
        <v>6.2E-2</v>
      </c>
      <c r="H133" s="77">
        <v>1.78</v>
      </c>
      <c r="I133" s="77">
        <v>2.14</v>
      </c>
      <c r="J133" s="77">
        <v>1.34</v>
      </c>
      <c r="K133" s="77">
        <v>0.6</v>
      </c>
      <c r="L133" s="77">
        <v>5.86</v>
      </c>
      <c r="M133" s="77">
        <v>3.24</v>
      </c>
      <c r="N133" s="77">
        <v>4.66</v>
      </c>
      <c r="O133" s="77">
        <v>13.77</v>
      </c>
      <c r="P133" s="73">
        <f t="shared" si="1"/>
        <v>16.129032258064516</v>
      </c>
    </row>
    <row r="134" spans="1:16" x14ac:dyDescent="0.25">
      <c r="A134" s="72" t="s">
        <v>187</v>
      </c>
      <c r="B134" s="73">
        <v>10</v>
      </c>
      <c r="C134" s="72" t="s">
        <v>33</v>
      </c>
      <c r="D134" s="74">
        <v>52500</v>
      </c>
      <c r="E134" s="75">
        <v>150</v>
      </c>
      <c r="F134" s="75">
        <v>8</v>
      </c>
      <c r="G134" s="76">
        <v>0.20300000000000001</v>
      </c>
      <c r="H134" s="77">
        <v>5.75</v>
      </c>
      <c r="I134" s="77">
        <v>3.99</v>
      </c>
      <c r="J134" s="77">
        <v>3.99</v>
      </c>
      <c r="K134" s="77">
        <v>0.91</v>
      </c>
      <c r="L134" s="77">
        <v>14.66</v>
      </c>
      <c r="M134" s="77">
        <v>9.65</v>
      </c>
      <c r="N134" s="77">
        <v>6.85</v>
      </c>
      <c r="O134" s="77">
        <v>31.17</v>
      </c>
      <c r="P134" s="73">
        <f t="shared" si="1"/>
        <v>4.9261083743842358</v>
      </c>
    </row>
    <row r="135" spans="1:16" x14ac:dyDescent="0.25">
      <c r="A135" s="72" t="s">
        <v>188</v>
      </c>
      <c r="B135" s="73">
        <v>12</v>
      </c>
      <c r="C135" s="72" t="s">
        <v>33</v>
      </c>
      <c r="D135" s="74">
        <v>61500</v>
      </c>
      <c r="E135" s="75">
        <v>150</v>
      </c>
      <c r="F135" s="75">
        <v>8</v>
      </c>
      <c r="G135" s="76">
        <v>0.16900000000000001</v>
      </c>
      <c r="H135" s="77">
        <v>4.79</v>
      </c>
      <c r="I135" s="77">
        <v>3.32</v>
      </c>
      <c r="J135" s="77">
        <v>3.9</v>
      </c>
      <c r="K135" s="77">
        <v>0.76</v>
      </c>
      <c r="L135" s="77">
        <v>12.79</v>
      </c>
      <c r="M135" s="77">
        <v>9.42</v>
      </c>
      <c r="N135" s="77">
        <v>5.71</v>
      </c>
      <c r="O135" s="77">
        <v>27.92</v>
      </c>
      <c r="P135" s="73">
        <f t="shared" si="1"/>
        <v>5.9171597633136095</v>
      </c>
    </row>
    <row r="136" spans="1:16" x14ac:dyDescent="0.25">
      <c r="A136" s="72" t="s">
        <v>189</v>
      </c>
      <c r="B136" s="73">
        <v>15</v>
      </c>
      <c r="C136" s="72" t="s">
        <v>36</v>
      </c>
      <c r="D136" s="74">
        <v>56000</v>
      </c>
      <c r="E136" s="75">
        <v>150</v>
      </c>
      <c r="F136" s="75">
        <v>8</v>
      </c>
      <c r="G136" s="76">
        <v>0.13500000000000001</v>
      </c>
      <c r="H136" s="77">
        <v>3.83</v>
      </c>
      <c r="I136" s="77">
        <v>3.07</v>
      </c>
      <c r="J136" s="77">
        <v>2.84</v>
      </c>
      <c r="K136" s="77">
        <v>0.82</v>
      </c>
      <c r="L136" s="77">
        <v>10.57</v>
      </c>
      <c r="M136" s="77">
        <v>6.86</v>
      </c>
      <c r="N136" s="77">
        <v>6.14</v>
      </c>
      <c r="O136" s="77">
        <v>23.57</v>
      </c>
      <c r="P136" s="73">
        <f t="shared" si="1"/>
        <v>7.4074074074074066</v>
      </c>
    </row>
    <row r="137" spans="1:16" x14ac:dyDescent="0.25">
      <c r="A137" s="72" t="s">
        <v>190</v>
      </c>
      <c r="B137" s="73">
        <v>20</v>
      </c>
      <c r="C137" s="72" t="s">
        <v>37</v>
      </c>
      <c r="D137" s="74">
        <v>61200</v>
      </c>
      <c r="E137" s="75">
        <v>150</v>
      </c>
      <c r="F137" s="75">
        <v>8</v>
      </c>
      <c r="G137" s="76">
        <v>0.10100000000000001</v>
      </c>
      <c r="H137" s="77">
        <v>2.87</v>
      </c>
      <c r="I137" s="77">
        <v>2.61</v>
      </c>
      <c r="J137" s="77">
        <v>2.33</v>
      </c>
      <c r="K137" s="77">
        <v>0.69</v>
      </c>
      <c r="L137" s="77">
        <v>8.51</v>
      </c>
      <c r="M137" s="77">
        <v>5.62</v>
      </c>
      <c r="N137" s="77">
        <v>5.36</v>
      </c>
      <c r="O137" s="77">
        <v>19.5</v>
      </c>
      <c r="P137" s="73">
        <f t="shared" ref="P137:P201" si="2">1/G137</f>
        <v>9.9009900990099009</v>
      </c>
    </row>
    <row r="138" spans="1:16" x14ac:dyDescent="0.25">
      <c r="A138" s="72" t="s">
        <v>191</v>
      </c>
      <c r="B138" s="73">
        <v>24</v>
      </c>
      <c r="C138" s="72" t="s">
        <v>38</v>
      </c>
      <c r="D138" s="74">
        <v>93500</v>
      </c>
      <c r="E138" s="75">
        <v>150</v>
      </c>
      <c r="F138" s="75">
        <v>8</v>
      </c>
      <c r="G138" s="76">
        <v>8.4000000000000005E-2</v>
      </c>
      <c r="H138" s="77">
        <v>2.39</v>
      </c>
      <c r="I138" s="77">
        <v>2.4300000000000002</v>
      </c>
      <c r="J138" s="77">
        <v>2.96</v>
      </c>
      <c r="K138" s="77">
        <v>0.74</v>
      </c>
      <c r="L138" s="77">
        <v>8.5399999999999991</v>
      </c>
      <c r="M138" s="77">
        <v>7.16</v>
      </c>
      <c r="N138" s="77">
        <v>5.74</v>
      </c>
      <c r="O138" s="77">
        <v>21.45</v>
      </c>
      <c r="P138" s="73">
        <f t="shared" si="2"/>
        <v>11.904761904761903</v>
      </c>
    </row>
    <row r="139" spans="1:16" x14ac:dyDescent="0.25">
      <c r="A139" s="72" t="s">
        <v>192</v>
      </c>
      <c r="B139" s="73">
        <v>30</v>
      </c>
      <c r="C139" s="72" t="s">
        <v>39</v>
      </c>
      <c r="D139" s="74">
        <v>109000</v>
      </c>
      <c r="E139" s="75">
        <v>150</v>
      </c>
      <c r="F139" s="75">
        <v>8</v>
      </c>
      <c r="G139" s="76">
        <v>6.7000000000000004E-2</v>
      </c>
      <c r="H139" s="77">
        <v>1.91</v>
      </c>
      <c r="I139" s="77">
        <v>2.2999999999999998</v>
      </c>
      <c r="J139" s="77">
        <v>2.76</v>
      </c>
      <c r="K139" s="77">
        <v>0.64</v>
      </c>
      <c r="L139" s="77">
        <v>7.63</v>
      </c>
      <c r="M139" s="77">
        <v>6.67</v>
      </c>
      <c r="N139" s="77">
        <v>5.0199999999999996</v>
      </c>
      <c r="O139" s="77">
        <v>19.34</v>
      </c>
      <c r="P139" s="73">
        <f t="shared" si="2"/>
        <v>14.925373134328357</v>
      </c>
    </row>
    <row r="140" spans="1:16" x14ac:dyDescent="0.25">
      <c r="A140" s="72" t="s">
        <v>193</v>
      </c>
      <c r="B140" s="73">
        <v>35</v>
      </c>
      <c r="C140" s="72" t="s">
        <v>39</v>
      </c>
      <c r="D140" s="74">
        <v>125000</v>
      </c>
      <c r="E140" s="75">
        <v>150</v>
      </c>
      <c r="F140" s="75">
        <v>8</v>
      </c>
      <c r="G140" s="76">
        <v>5.8000000000000003E-2</v>
      </c>
      <c r="H140" s="77">
        <v>1.64</v>
      </c>
      <c r="I140" s="77">
        <v>1.97</v>
      </c>
      <c r="J140" s="77">
        <v>2.71</v>
      </c>
      <c r="K140" s="77">
        <v>0.55000000000000004</v>
      </c>
      <c r="L140" s="77">
        <v>6.89</v>
      </c>
      <c r="M140" s="77">
        <v>6.56</v>
      </c>
      <c r="N140" s="77">
        <v>4.3</v>
      </c>
      <c r="O140" s="77">
        <v>17.760000000000002</v>
      </c>
      <c r="P140" s="73">
        <f t="shared" si="2"/>
        <v>17.241379310344826</v>
      </c>
    </row>
    <row r="141" spans="1:16" x14ac:dyDescent="0.25">
      <c r="A141" s="72" t="s">
        <v>194</v>
      </c>
      <c r="B141" s="73">
        <v>10</v>
      </c>
      <c r="C141" s="72" t="s">
        <v>33</v>
      </c>
      <c r="D141" s="74">
        <v>46400</v>
      </c>
      <c r="E141" s="75">
        <v>150</v>
      </c>
      <c r="F141" s="75">
        <v>8</v>
      </c>
      <c r="G141" s="76">
        <v>0.188</v>
      </c>
      <c r="H141" s="77">
        <v>5.34</v>
      </c>
      <c r="I141" s="77">
        <v>3.7</v>
      </c>
      <c r="J141" s="77">
        <v>3.28</v>
      </c>
      <c r="K141" s="77">
        <v>0.85</v>
      </c>
      <c r="L141" s="77">
        <v>13.18</v>
      </c>
      <c r="M141" s="77">
        <v>7.92</v>
      </c>
      <c r="N141" s="77">
        <v>6.36</v>
      </c>
      <c r="O141" s="77">
        <v>27.47</v>
      </c>
      <c r="P141" s="73">
        <f t="shared" si="2"/>
        <v>5.3191489361702127</v>
      </c>
    </row>
    <row r="142" spans="1:16" x14ac:dyDescent="0.25">
      <c r="A142" s="72" t="s">
        <v>195</v>
      </c>
      <c r="B142" s="73">
        <v>12</v>
      </c>
      <c r="C142" s="72" t="s">
        <v>33</v>
      </c>
      <c r="D142" s="74">
        <v>55400</v>
      </c>
      <c r="E142" s="75">
        <v>150</v>
      </c>
      <c r="F142" s="75">
        <v>8</v>
      </c>
      <c r="G142" s="76">
        <v>0.157</v>
      </c>
      <c r="H142" s="77">
        <v>4.45</v>
      </c>
      <c r="I142" s="77">
        <v>3.09</v>
      </c>
      <c r="J142" s="77">
        <v>3.26</v>
      </c>
      <c r="K142" s="77">
        <v>0.7</v>
      </c>
      <c r="L142" s="77">
        <v>11.51</v>
      </c>
      <c r="M142" s="77">
        <v>7.88</v>
      </c>
      <c r="N142" s="77">
        <v>5.3</v>
      </c>
      <c r="O142" s="77">
        <v>24.7</v>
      </c>
      <c r="P142" s="73">
        <f t="shared" si="2"/>
        <v>6.369426751592357</v>
      </c>
    </row>
    <row r="143" spans="1:16" x14ac:dyDescent="0.25">
      <c r="A143" s="72" t="s">
        <v>196</v>
      </c>
      <c r="B143" s="73">
        <v>15</v>
      </c>
      <c r="C143" s="72" t="s">
        <v>36</v>
      </c>
      <c r="D143" s="74">
        <v>49900</v>
      </c>
      <c r="E143" s="75">
        <v>150</v>
      </c>
      <c r="F143" s="75">
        <v>8</v>
      </c>
      <c r="G143" s="76">
        <v>0.125</v>
      </c>
      <c r="H143" s="77">
        <v>3.56</v>
      </c>
      <c r="I143" s="77">
        <v>2.85</v>
      </c>
      <c r="J143" s="77">
        <v>2.35</v>
      </c>
      <c r="K143" s="77">
        <v>0.76</v>
      </c>
      <c r="L143" s="77">
        <v>9.5299999999999994</v>
      </c>
      <c r="M143" s="77">
        <v>5.67</v>
      </c>
      <c r="N143" s="77">
        <v>5.7</v>
      </c>
      <c r="O143" s="77">
        <v>20.91</v>
      </c>
      <c r="P143" s="73">
        <f t="shared" si="2"/>
        <v>8</v>
      </c>
    </row>
    <row r="144" spans="1:16" x14ac:dyDescent="0.25">
      <c r="A144" s="72" t="s">
        <v>197</v>
      </c>
      <c r="B144" s="73">
        <v>20</v>
      </c>
      <c r="C144" s="72" t="s">
        <v>37</v>
      </c>
      <c r="D144" s="74">
        <v>55100</v>
      </c>
      <c r="E144" s="75">
        <v>150</v>
      </c>
      <c r="F144" s="75">
        <v>8</v>
      </c>
      <c r="G144" s="76">
        <v>9.4E-2</v>
      </c>
      <c r="H144" s="77">
        <v>2.67</v>
      </c>
      <c r="I144" s="77">
        <v>2.42</v>
      </c>
      <c r="J144" s="77">
        <v>1.94</v>
      </c>
      <c r="K144" s="77">
        <v>0.64</v>
      </c>
      <c r="L144" s="77">
        <v>7.68</v>
      </c>
      <c r="M144" s="77">
        <v>4.7</v>
      </c>
      <c r="N144" s="77">
        <v>4.97</v>
      </c>
      <c r="O144" s="77">
        <v>17.37</v>
      </c>
      <c r="P144" s="73">
        <f t="shared" si="2"/>
        <v>10.638297872340425</v>
      </c>
    </row>
    <row r="145" spans="1:16" x14ac:dyDescent="0.25">
      <c r="A145" s="72" t="s">
        <v>198</v>
      </c>
      <c r="B145" s="73">
        <v>24</v>
      </c>
      <c r="C145" s="72" t="s">
        <v>38</v>
      </c>
      <c r="D145" s="74">
        <v>87400</v>
      </c>
      <c r="E145" s="75">
        <v>150</v>
      </c>
      <c r="F145" s="75">
        <v>8</v>
      </c>
      <c r="G145" s="76">
        <v>7.8E-2</v>
      </c>
      <c r="H145" s="77">
        <v>2.2200000000000002</v>
      </c>
      <c r="I145" s="77">
        <v>2.25</v>
      </c>
      <c r="J145" s="77">
        <v>2.57</v>
      </c>
      <c r="K145" s="77">
        <v>0.68</v>
      </c>
      <c r="L145" s="77">
        <v>7.75</v>
      </c>
      <c r="M145" s="77">
        <v>6.21</v>
      </c>
      <c r="N145" s="77">
        <v>5.33</v>
      </c>
      <c r="O145" s="77">
        <v>19.3</v>
      </c>
      <c r="P145" s="73">
        <f t="shared" si="2"/>
        <v>12.820512820512821</v>
      </c>
    </row>
    <row r="146" spans="1:16" x14ac:dyDescent="0.25">
      <c r="A146" s="72" t="s">
        <v>199</v>
      </c>
      <c r="B146" s="73">
        <v>30</v>
      </c>
      <c r="C146" s="72" t="s">
        <v>39</v>
      </c>
      <c r="D146" s="74">
        <v>102800</v>
      </c>
      <c r="E146" s="75">
        <v>150</v>
      </c>
      <c r="F146" s="75">
        <v>8</v>
      </c>
      <c r="G146" s="76">
        <v>6.2E-2</v>
      </c>
      <c r="H146" s="77">
        <v>1.78</v>
      </c>
      <c r="I146" s="77">
        <v>2.14</v>
      </c>
      <c r="J146" s="77">
        <v>2.42</v>
      </c>
      <c r="K146" s="77">
        <v>0.6</v>
      </c>
      <c r="L146" s="77">
        <v>6.94</v>
      </c>
      <c r="M146" s="77">
        <v>5.84</v>
      </c>
      <c r="N146" s="77">
        <v>4.66</v>
      </c>
      <c r="O146" s="77">
        <v>17.46</v>
      </c>
      <c r="P146" s="73">
        <f t="shared" si="2"/>
        <v>16.129032258064516</v>
      </c>
    </row>
    <row r="147" spans="1:16" x14ac:dyDescent="0.25">
      <c r="A147" s="72" t="s">
        <v>200</v>
      </c>
      <c r="B147" s="73">
        <v>35</v>
      </c>
      <c r="C147" s="72" t="s">
        <v>39</v>
      </c>
      <c r="D147" s="74">
        <v>119000</v>
      </c>
      <c r="E147" s="75">
        <v>150</v>
      </c>
      <c r="F147" s="75">
        <v>8</v>
      </c>
      <c r="G147" s="76">
        <v>5.2999999999999999E-2</v>
      </c>
      <c r="H147" s="77">
        <v>1.52</v>
      </c>
      <c r="I147" s="77">
        <v>1.83</v>
      </c>
      <c r="J147" s="77">
        <v>2.4</v>
      </c>
      <c r="K147" s="77">
        <v>0.51</v>
      </c>
      <c r="L147" s="77">
        <v>6.28</v>
      </c>
      <c r="M147" s="77">
        <v>5.8</v>
      </c>
      <c r="N147" s="77">
        <v>3.99</v>
      </c>
      <c r="O147" s="77">
        <v>16.079999999999998</v>
      </c>
      <c r="P147" s="73">
        <f t="shared" si="2"/>
        <v>18.867924528301888</v>
      </c>
    </row>
    <row r="148" spans="1:16" x14ac:dyDescent="0.25">
      <c r="A148" s="5" t="s">
        <v>201</v>
      </c>
      <c r="B148" s="78">
        <v>24</v>
      </c>
      <c r="C148" s="5" t="s">
        <v>38</v>
      </c>
      <c r="D148" s="79">
        <v>13800</v>
      </c>
      <c r="E148" s="80">
        <v>200</v>
      </c>
      <c r="F148" s="80">
        <v>10</v>
      </c>
      <c r="G148" s="81">
        <v>6.4000000000000001E-2</v>
      </c>
      <c r="H148" s="82">
        <v>1.24</v>
      </c>
      <c r="I148" s="82">
        <v>1.86</v>
      </c>
      <c r="J148" s="82">
        <v>0.31</v>
      </c>
      <c r="K148" s="82">
        <v>0.56000000000000005</v>
      </c>
      <c r="L148" s="82">
        <v>3.98</v>
      </c>
      <c r="M148" s="82">
        <v>0.59</v>
      </c>
      <c r="N148" s="82">
        <v>4.3899999999999997</v>
      </c>
      <c r="O148" s="82">
        <v>8.9700000000000006</v>
      </c>
      <c r="P148" s="78">
        <f t="shared" si="2"/>
        <v>15.625</v>
      </c>
    </row>
    <row r="149" spans="1:16" x14ac:dyDescent="0.25">
      <c r="A149" s="5" t="s">
        <v>202</v>
      </c>
      <c r="B149" s="78">
        <v>30</v>
      </c>
      <c r="C149" s="5" t="s">
        <v>38</v>
      </c>
      <c r="D149" s="79">
        <v>15300</v>
      </c>
      <c r="E149" s="80">
        <v>200</v>
      </c>
      <c r="F149" s="80">
        <v>10</v>
      </c>
      <c r="G149" s="81">
        <v>5.0999999999999997E-2</v>
      </c>
      <c r="H149" s="82">
        <v>0.99</v>
      </c>
      <c r="I149" s="82">
        <v>1.48</v>
      </c>
      <c r="J149" s="82">
        <v>0.27</v>
      </c>
      <c r="K149" s="82">
        <v>0.45</v>
      </c>
      <c r="L149" s="82">
        <v>3.21</v>
      </c>
      <c r="M149" s="82">
        <v>0.52</v>
      </c>
      <c r="N149" s="82">
        <v>3.51</v>
      </c>
      <c r="O149" s="82">
        <v>7.25</v>
      </c>
      <c r="P149" s="78">
        <f t="shared" si="2"/>
        <v>19.607843137254903</v>
      </c>
    </row>
    <row r="150" spans="1:16" x14ac:dyDescent="0.25">
      <c r="A150" s="5" t="s">
        <v>203</v>
      </c>
      <c r="B150" s="78">
        <v>40</v>
      </c>
      <c r="C150" s="5" t="s">
        <v>38</v>
      </c>
      <c r="D150" s="79">
        <v>21300</v>
      </c>
      <c r="E150" s="80">
        <v>200</v>
      </c>
      <c r="F150" s="80">
        <v>10</v>
      </c>
      <c r="G150" s="81">
        <v>3.7999999999999999E-2</v>
      </c>
      <c r="H150" s="82">
        <v>0.74</v>
      </c>
      <c r="I150" s="82">
        <v>1.1100000000000001</v>
      </c>
      <c r="J150" s="82">
        <v>0.28000000000000003</v>
      </c>
      <c r="K150" s="82">
        <v>0.34</v>
      </c>
      <c r="L150" s="82">
        <v>2.4900000000000002</v>
      </c>
      <c r="M150" s="82">
        <v>0.54</v>
      </c>
      <c r="N150" s="82">
        <v>2.63</v>
      </c>
      <c r="O150" s="82">
        <v>5.67</v>
      </c>
      <c r="P150" s="78">
        <f t="shared" si="2"/>
        <v>26.315789473684212</v>
      </c>
    </row>
    <row r="151" spans="1:16" x14ac:dyDescent="0.25">
      <c r="A151" s="5" t="s">
        <v>204</v>
      </c>
      <c r="B151" s="78">
        <v>48</v>
      </c>
      <c r="C151" s="5" t="s">
        <v>39</v>
      </c>
      <c r="D151" s="79">
        <v>36000</v>
      </c>
      <c r="E151" s="80">
        <v>200</v>
      </c>
      <c r="F151" s="80">
        <v>10</v>
      </c>
      <c r="G151" s="81">
        <v>3.2000000000000001E-2</v>
      </c>
      <c r="H151" s="82">
        <v>0.62</v>
      </c>
      <c r="I151" s="82">
        <v>1.1000000000000001</v>
      </c>
      <c r="J151" s="82">
        <v>0.4</v>
      </c>
      <c r="K151" s="82">
        <v>0.31</v>
      </c>
      <c r="L151" s="82">
        <v>2.44</v>
      </c>
      <c r="M151" s="82">
        <v>0.76</v>
      </c>
      <c r="N151" s="82">
        <v>2.4</v>
      </c>
      <c r="O151" s="82">
        <v>5.61</v>
      </c>
      <c r="P151" s="78">
        <f t="shared" si="2"/>
        <v>31.25</v>
      </c>
    </row>
    <row r="152" spans="1:16" x14ac:dyDescent="0.25">
      <c r="A152" s="72" t="s">
        <v>205</v>
      </c>
      <c r="B152" s="73">
        <f>(6*30)/12</f>
        <v>15</v>
      </c>
      <c r="C152" s="72" t="s">
        <v>14</v>
      </c>
      <c r="D152" s="74">
        <v>76100</v>
      </c>
      <c r="E152" s="75">
        <v>300</v>
      </c>
      <c r="F152" s="75">
        <v>8</v>
      </c>
      <c r="G152" s="76">
        <v>0.17</v>
      </c>
      <c r="H152" s="77">
        <v>3.28</v>
      </c>
      <c r="I152" s="77">
        <v>6.82</v>
      </c>
      <c r="J152" s="77">
        <v>3.23</v>
      </c>
      <c r="K152" s="77">
        <v>8.2100000000000009</v>
      </c>
      <c r="L152" s="77">
        <v>21.56</v>
      </c>
      <c r="M152" s="77">
        <v>6.06</v>
      </c>
      <c r="N152" s="77">
        <v>39.32</v>
      </c>
      <c r="O152" s="77">
        <v>66.95</v>
      </c>
      <c r="P152" s="73">
        <f t="shared" si="2"/>
        <v>5.8823529411764701</v>
      </c>
    </row>
    <row r="153" spans="1:16" x14ac:dyDescent="0.25">
      <c r="A153" s="72" t="s">
        <v>206</v>
      </c>
      <c r="B153" s="73">
        <f>(6*38)/12</f>
        <v>19</v>
      </c>
      <c r="C153" s="72" t="s">
        <v>14</v>
      </c>
      <c r="D153" s="74">
        <v>77100</v>
      </c>
      <c r="E153" s="75">
        <v>300</v>
      </c>
      <c r="F153" s="75">
        <v>8</v>
      </c>
      <c r="G153" s="76">
        <v>0.13400000000000001</v>
      </c>
      <c r="H153" s="77">
        <v>2.59</v>
      </c>
      <c r="I153" s="77">
        <v>5.39</v>
      </c>
      <c r="J153" s="77">
        <v>2.59</v>
      </c>
      <c r="K153" s="77">
        <v>6.48</v>
      </c>
      <c r="L153" s="77">
        <v>17.05</v>
      </c>
      <c r="M153" s="77">
        <v>4.8499999999999996</v>
      </c>
      <c r="N153" s="77">
        <v>31.04</v>
      </c>
      <c r="O153" s="77">
        <v>52.95</v>
      </c>
      <c r="P153" s="73">
        <f t="shared" si="2"/>
        <v>7.4626865671641784</v>
      </c>
    </row>
    <row r="154" spans="1:16" x14ac:dyDescent="0.25">
      <c r="A154" s="72" t="s">
        <v>207</v>
      </c>
      <c r="B154" s="73">
        <f>(8*30)/12</f>
        <v>20</v>
      </c>
      <c r="C154" s="72" t="s">
        <v>14</v>
      </c>
      <c r="D154" s="74">
        <v>117000</v>
      </c>
      <c r="E154" s="75">
        <v>300</v>
      </c>
      <c r="F154" s="75">
        <v>8</v>
      </c>
      <c r="G154" s="76">
        <v>0.127</v>
      </c>
      <c r="H154" s="77">
        <v>2.46</v>
      </c>
      <c r="I154" s="77">
        <v>5.12</v>
      </c>
      <c r="J154" s="77">
        <v>3.73</v>
      </c>
      <c r="K154" s="77">
        <v>6.15</v>
      </c>
      <c r="L154" s="77">
        <v>17.47</v>
      </c>
      <c r="M154" s="77">
        <v>6.99</v>
      </c>
      <c r="N154" s="77">
        <v>29.49</v>
      </c>
      <c r="O154" s="77">
        <v>53.96</v>
      </c>
      <c r="P154" s="73">
        <f t="shared" si="2"/>
        <v>7.8740157480314963</v>
      </c>
    </row>
    <row r="155" spans="1:16" x14ac:dyDescent="0.25">
      <c r="A155" s="72" t="s">
        <v>208</v>
      </c>
      <c r="B155" s="73">
        <f>(8*38)/12</f>
        <v>25.333333333333332</v>
      </c>
      <c r="C155" s="72" t="s">
        <v>15</v>
      </c>
      <c r="D155" s="74">
        <v>90700</v>
      </c>
      <c r="E155" s="75">
        <v>300</v>
      </c>
      <c r="F155" s="75">
        <v>8</v>
      </c>
      <c r="G155" s="76">
        <v>0.1</v>
      </c>
      <c r="H155" s="77">
        <v>1.94</v>
      </c>
      <c r="I155" s="77">
        <v>4.96</v>
      </c>
      <c r="J155" s="77">
        <v>2.2799999999999998</v>
      </c>
      <c r="K155" s="77">
        <v>5.88</v>
      </c>
      <c r="L155" s="77">
        <v>15.09</v>
      </c>
      <c r="M155" s="77">
        <v>4.28</v>
      </c>
      <c r="N155" s="77">
        <v>28.19</v>
      </c>
      <c r="O155" s="77">
        <v>47.57</v>
      </c>
      <c r="P155" s="73">
        <f t="shared" si="2"/>
        <v>10</v>
      </c>
    </row>
    <row r="156" spans="1:16" x14ac:dyDescent="0.25">
      <c r="A156" s="72" t="s">
        <v>209</v>
      </c>
      <c r="B156" s="73">
        <f>(12*20)/12</f>
        <v>20</v>
      </c>
      <c r="C156" s="72" t="s">
        <v>15</v>
      </c>
      <c r="D156" s="74">
        <v>156000</v>
      </c>
      <c r="E156" s="75">
        <v>300</v>
      </c>
      <c r="F156" s="75">
        <v>8</v>
      </c>
      <c r="G156" s="76">
        <v>0.127</v>
      </c>
      <c r="H156" s="77">
        <v>2.46</v>
      </c>
      <c r="I156" s="77">
        <v>6.28</v>
      </c>
      <c r="J156" s="77">
        <v>4.9800000000000004</v>
      </c>
      <c r="K156" s="77">
        <v>7.44</v>
      </c>
      <c r="L156" s="77">
        <v>21.17</v>
      </c>
      <c r="M156" s="77">
        <v>9.32</v>
      </c>
      <c r="N156" s="77">
        <v>35.67</v>
      </c>
      <c r="O156" s="77">
        <v>66.16</v>
      </c>
      <c r="P156" s="73">
        <f t="shared" si="2"/>
        <v>7.8740157480314963</v>
      </c>
    </row>
    <row r="157" spans="1:16" x14ac:dyDescent="0.25">
      <c r="A157" s="72" t="s">
        <v>210</v>
      </c>
      <c r="B157" s="73">
        <f>(12*30)/12</f>
        <v>30</v>
      </c>
      <c r="C157" s="72" t="s">
        <v>15</v>
      </c>
      <c r="D157" s="74">
        <v>167000</v>
      </c>
      <c r="E157" s="75">
        <v>300</v>
      </c>
      <c r="F157" s="75">
        <v>8</v>
      </c>
      <c r="G157" s="76">
        <v>8.5000000000000006E-2</v>
      </c>
      <c r="H157" s="77">
        <v>1.64</v>
      </c>
      <c r="I157" s="77">
        <v>4.18</v>
      </c>
      <c r="J157" s="77">
        <v>3.55</v>
      </c>
      <c r="K157" s="77">
        <v>4.96</v>
      </c>
      <c r="L157" s="77">
        <v>14.35</v>
      </c>
      <c r="M157" s="77">
        <v>6.65</v>
      </c>
      <c r="N157" s="77">
        <v>23.78</v>
      </c>
      <c r="O157" s="77">
        <v>44.78</v>
      </c>
      <c r="P157" s="73">
        <f t="shared" si="2"/>
        <v>11.76470588235294</v>
      </c>
    </row>
    <row r="158" spans="1:16" x14ac:dyDescent="0.25">
      <c r="A158" s="72" t="s">
        <v>211</v>
      </c>
      <c r="B158" s="73">
        <v>25</v>
      </c>
      <c r="C158" s="72" t="s">
        <v>14</v>
      </c>
      <c r="D158" s="74">
        <v>83200</v>
      </c>
      <c r="E158" s="75">
        <v>300</v>
      </c>
      <c r="F158" s="75">
        <v>8</v>
      </c>
      <c r="G158" s="76">
        <v>0.20300000000000001</v>
      </c>
      <c r="H158" s="77">
        <v>3.91</v>
      </c>
      <c r="I158" s="77">
        <v>8.14</v>
      </c>
      <c r="J158" s="77">
        <v>3.87</v>
      </c>
      <c r="K158" s="77">
        <v>9.7899999999999991</v>
      </c>
      <c r="L158" s="77">
        <v>25.72</v>
      </c>
      <c r="M158" s="77">
        <v>7.64</v>
      </c>
      <c r="N158" s="77">
        <v>46.89</v>
      </c>
      <c r="O158" s="77">
        <v>80.27</v>
      </c>
      <c r="P158" s="73">
        <f t="shared" si="2"/>
        <v>4.9261083743842358</v>
      </c>
    </row>
    <row r="159" spans="1:16" x14ac:dyDescent="0.25">
      <c r="A159" s="72" t="s">
        <v>212</v>
      </c>
      <c r="B159" s="73">
        <v>30</v>
      </c>
      <c r="C159" s="72" t="s">
        <v>15</v>
      </c>
      <c r="D159" s="74">
        <v>85600</v>
      </c>
      <c r="E159" s="75">
        <v>300</v>
      </c>
      <c r="F159" s="75">
        <v>8</v>
      </c>
      <c r="G159" s="76">
        <v>0.16900000000000001</v>
      </c>
      <c r="H159" s="77">
        <v>3.26</v>
      </c>
      <c r="I159" s="77">
        <v>8.32</v>
      </c>
      <c r="J159" s="77">
        <v>3.31</v>
      </c>
      <c r="K159" s="77">
        <v>9.8699999999999992</v>
      </c>
      <c r="L159" s="77">
        <v>24.77</v>
      </c>
      <c r="M159" s="77">
        <v>6.55</v>
      </c>
      <c r="N159" s="77">
        <v>47.26</v>
      </c>
      <c r="O159" s="77">
        <v>78.599999999999994</v>
      </c>
      <c r="P159" s="73">
        <f t="shared" si="2"/>
        <v>5.9171597633136095</v>
      </c>
    </row>
    <row r="160" spans="1:16" x14ac:dyDescent="0.25">
      <c r="A160" s="72" t="s">
        <v>213</v>
      </c>
      <c r="B160" s="73">
        <v>36</v>
      </c>
      <c r="C160" s="72" t="s">
        <v>16</v>
      </c>
      <c r="D160" s="74">
        <v>100000</v>
      </c>
      <c r="E160" s="75">
        <v>300</v>
      </c>
      <c r="F160" s="75">
        <v>8</v>
      </c>
      <c r="G160" s="76">
        <v>0.14099999999999999</v>
      </c>
      <c r="H160" s="77">
        <v>2.71</v>
      </c>
      <c r="I160" s="77">
        <v>7.57</v>
      </c>
      <c r="J160" s="77">
        <v>3.23</v>
      </c>
      <c r="K160" s="77">
        <v>8.3000000000000007</v>
      </c>
      <c r="L160" s="77">
        <v>21.82</v>
      </c>
      <c r="M160" s="77">
        <v>6.38</v>
      </c>
      <c r="N160" s="77">
        <v>39.74</v>
      </c>
      <c r="O160" s="77">
        <v>67.95</v>
      </c>
      <c r="P160" s="73">
        <f t="shared" si="2"/>
        <v>7.0921985815602842</v>
      </c>
    </row>
    <row r="161" spans="1:16" x14ac:dyDescent="0.25">
      <c r="A161" s="72" t="s">
        <v>214</v>
      </c>
      <c r="B161" s="73">
        <v>40</v>
      </c>
      <c r="C161" s="72" t="s">
        <v>17</v>
      </c>
      <c r="D161" s="74">
        <v>108000</v>
      </c>
      <c r="E161" s="75">
        <v>300</v>
      </c>
      <c r="F161" s="75">
        <v>8</v>
      </c>
      <c r="G161" s="76">
        <v>0.126</v>
      </c>
      <c r="H161" s="77">
        <v>2.44</v>
      </c>
      <c r="I161" s="77">
        <v>8.16</v>
      </c>
      <c r="J161" s="77">
        <v>3.14</v>
      </c>
      <c r="K161" s="77">
        <v>7.5</v>
      </c>
      <c r="L161" s="77">
        <v>21.26</v>
      </c>
      <c r="M161" s="77">
        <v>6.2</v>
      </c>
      <c r="N161" s="77">
        <v>35.950000000000003</v>
      </c>
      <c r="O161" s="77">
        <v>63.42</v>
      </c>
      <c r="P161" s="73">
        <f t="shared" si="2"/>
        <v>7.9365079365079367</v>
      </c>
    </row>
    <row r="162" spans="1:16" x14ac:dyDescent="0.25">
      <c r="A162" s="72" t="s">
        <v>215</v>
      </c>
      <c r="B162" s="73">
        <v>25</v>
      </c>
      <c r="C162" s="72" t="s">
        <v>15</v>
      </c>
      <c r="D162" s="74">
        <v>83200</v>
      </c>
      <c r="E162" s="75">
        <v>300</v>
      </c>
      <c r="F162" s="75">
        <v>8</v>
      </c>
      <c r="G162" s="76">
        <v>0.17599999999999999</v>
      </c>
      <c r="H162" s="77">
        <v>3.39</v>
      </c>
      <c r="I162" s="77">
        <v>8.65</v>
      </c>
      <c r="J162" s="77">
        <v>3.35</v>
      </c>
      <c r="K162" s="77">
        <v>10.26</v>
      </c>
      <c r="L162" s="77">
        <v>25.67</v>
      </c>
      <c r="M162" s="77">
        <v>6.62</v>
      </c>
      <c r="N162" s="77">
        <v>49.15</v>
      </c>
      <c r="O162" s="77">
        <v>81.45</v>
      </c>
      <c r="P162" s="73">
        <f t="shared" si="2"/>
        <v>5.6818181818181825</v>
      </c>
    </row>
    <row r="163" spans="1:16" x14ac:dyDescent="0.25">
      <c r="A163" s="72" t="s">
        <v>216</v>
      </c>
      <c r="B163" s="73">
        <v>30</v>
      </c>
      <c r="C163" s="72" t="s">
        <v>15</v>
      </c>
      <c r="D163" s="74">
        <v>85600</v>
      </c>
      <c r="E163" s="75">
        <v>300</v>
      </c>
      <c r="F163" s="75">
        <v>8</v>
      </c>
      <c r="G163" s="76">
        <v>0.14599999999999999</v>
      </c>
      <c r="H163" s="77">
        <v>2.82</v>
      </c>
      <c r="I163" s="77">
        <v>7.21</v>
      </c>
      <c r="J163" s="77">
        <v>2.87</v>
      </c>
      <c r="K163" s="77">
        <v>8.5500000000000007</v>
      </c>
      <c r="L163" s="77">
        <v>21.47</v>
      </c>
      <c r="M163" s="77">
        <v>5.68</v>
      </c>
      <c r="N163" s="77">
        <v>40.96</v>
      </c>
      <c r="O163" s="77">
        <v>68.12</v>
      </c>
      <c r="P163" s="73">
        <f t="shared" si="2"/>
        <v>6.8493150684931514</v>
      </c>
    </row>
    <row r="164" spans="1:16" x14ac:dyDescent="0.25">
      <c r="A164" s="72" t="s">
        <v>217</v>
      </c>
      <c r="B164" s="73">
        <v>36</v>
      </c>
      <c r="C164" s="72" t="s">
        <v>218</v>
      </c>
      <c r="D164" s="74">
        <v>100000</v>
      </c>
      <c r="E164" s="75">
        <v>300</v>
      </c>
      <c r="F164" s="75">
        <v>8</v>
      </c>
      <c r="G164" s="76">
        <v>0.122</v>
      </c>
      <c r="H164" s="77">
        <v>2.35</v>
      </c>
      <c r="I164" s="77">
        <v>6.56</v>
      </c>
      <c r="J164" s="77">
        <v>2.8</v>
      </c>
      <c r="K164" s="77">
        <v>7.19</v>
      </c>
      <c r="L164" s="77">
        <v>18.91</v>
      </c>
      <c r="M164" s="77">
        <v>5.53</v>
      </c>
      <c r="N164" s="77">
        <v>34.44</v>
      </c>
      <c r="O164" s="77">
        <v>58.88</v>
      </c>
      <c r="P164" s="73">
        <f t="shared" si="2"/>
        <v>8.1967213114754092</v>
      </c>
    </row>
    <row r="165" spans="1:16" x14ac:dyDescent="0.25">
      <c r="A165" s="72" t="s">
        <v>219</v>
      </c>
      <c r="B165" s="73">
        <v>40</v>
      </c>
      <c r="C165" s="72" t="s">
        <v>17</v>
      </c>
      <c r="D165" s="74">
        <v>108000</v>
      </c>
      <c r="E165" s="75">
        <v>300</v>
      </c>
      <c r="F165" s="75">
        <v>8</v>
      </c>
      <c r="G165" s="76">
        <v>0.11</v>
      </c>
      <c r="H165" s="77">
        <v>2.12</v>
      </c>
      <c r="I165" s="77">
        <v>7.07</v>
      </c>
      <c r="J165" s="77">
        <v>2.72</v>
      </c>
      <c r="K165" s="77">
        <v>6.5</v>
      </c>
      <c r="L165" s="77">
        <v>18.420000000000002</v>
      </c>
      <c r="M165" s="77">
        <v>5.37</v>
      </c>
      <c r="N165" s="77">
        <v>31.16</v>
      </c>
      <c r="O165" s="77">
        <v>54.96</v>
      </c>
      <c r="P165" s="73">
        <f t="shared" si="2"/>
        <v>9.0909090909090917</v>
      </c>
    </row>
    <row r="166" spans="1:16" x14ac:dyDescent="0.25">
      <c r="A166" s="72" t="s">
        <v>220</v>
      </c>
      <c r="B166" s="73">
        <v>20</v>
      </c>
      <c r="C166" s="72" t="s">
        <v>14</v>
      </c>
      <c r="D166" s="74">
        <v>50600</v>
      </c>
      <c r="E166" s="75">
        <v>300</v>
      </c>
      <c r="F166" s="75">
        <v>8</v>
      </c>
      <c r="G166" s="76">
        <v>0.253</v>
      </c>
      <c r="H166" s="77">
        <v>4.8899999999999997</v>
      </c>
      <c r="I166" s="77">
        <v>10.17</v>
      </c>
      <c r="J166" s="77">
        <v>3.21</v>
      </c>
      <c r="K166" s="77">
        <v>12.24</v>
      </c>
      <c r="L166" s="77">
        <v>30.52</v>
      </c>
      <c r="M166" s="77">
        <v>6.01</v>
      </c>
      <c r="N166" s="77">
        <v>58.62</v>
      </c>
      <c r="O166" s="77">
        <v>95.16</v>
      </c>
      <c r="P166" s="73">
        <f t="shared" si="2"/>
        <v>3.9525691699604741</v>
      </c>
    </row>
    <row r="167" spans="1:16" x14ac:dyDescent="0.25">
      <c r="A167" s="72" t="s">
        <v>221</v>
      </c>
      <c r="B167" s="73">
        <v>24</v>
      </c>
      <c r="C167" s="72" t="s">
        <v>15</v>
      </c>
      <c r="D167" s="74">
        <v>54000</v>
      </c>
      <c r="E167" s="75">
        <v>300</v>
      </c>
      <c r="F167" s="75">
        <v>8</v>
      </c>
      <c r="G167" s="76">
        <v>0.21099999999999999</v>
      </c>
      <c r="H167" s="77">
        <v>4.07</v>
      </c>
      <c r="I167" s="77">
        <v>10.4</v>
      </c>
      <c r="J167" s="77">
        <v>2.85</v>
      </c>
      <c r="K167" s="77">
        <v>12.33</v>
      </c>
      <c r="L167" s="77">
        <v>29.67</v>
      </c>
      <c r="M167" s="77">
        <v>5.34</v>
      </c>
      <c r="N167" s="77">
        <v>59.08</v>
      </c>
      <c r="O167" s="77">
        <v>94.11</v>
      </c>
      <c r="P167" s="73">
        <f t="shared" si="2"/>
        <v>4.7393364928909953</v>
      </c>
    </row>
    <row r="168" spans="1:16" x14ac:dyDescent="0.25">
      <c r="A168" s="72" t="s">
        <v>222</v>
      </c>
      <c r="B168" s="73">
        <v>32</v>
      </c>
      <c r="C168" s="72" t="s">
        <v>15</v>
      </c>
      <c r="D168" s="74">
        <v>70800</v>
      </c>
      <c r="E168" s="75">
        <v>300</v>
      </c>
      <c r="F168" s="75">
        <v>8</v>
      </c>
      <c r="G168" s="76">
        <v>0.158</v>
      </c>
      <c r="H168" s="77">
        <v>3.05</v>
      </c>
      <c r="I168" s="77">
        <v>7.8</v>
      </c>
      <c r="J168" s="77">
        <v>2.8</v>
      </c>
      <c r="K168" s="77">
        <v>9.25</v>
      </c>
      <c r="L168" s="77">
        <v>22.92</v>
      </c>
      <c r="M168" s="77">
        <v>5.25</v>
      </c>
      <c r="N168" s="77">
        <v>44.31</v>
      </c>
      <c r="O168" s="77">
        <v>72.489999999999995</v>
      </c>
      <c r="P168" s="73">
        <f t="shared" si="2"/>
        <v>6.3291139240506329</v>
      </c>
    </row>
    <row r="169" spans="1:16" x14ac:dyDescent="0.25">
      <c r="A169" s="72" t="s">
        <v>223</v>
      </c>
      <c r="B169" s="73">
        <v>20</v>
      </c>
      <c r="C169" s="72" t="s">
        <v>14</v>
      </c>
      <c r="D169" s="74">
        <v>50600</v>
      </c>
      <c r="E169" s="75">
        <v>300</v>
      </c>
      <c r="F169" s="75">
        <v>8</v>
      </c>
      <c r="G169" s="76">
        <v>0.22</v>
      </c>
      <c r="H169" s="77">
        <v>4.24</v>
      </c>
      <c r="I169" s="77">
        <v>8.82</v>
      </c>
      <c r="J169" s="77">
        <v>2.78</v>
      </c>
      <c r="K169" s="77">
        <v>10.61</v>
      </c>
      <c r="L169" s="77">
        <v>26.45</v>
      </c>
      <c r="M169" s="77">
        <v>5.2</v>
      </c>
      <c r="N169" s="77">
        <v>50.8</v>
      </c>
      <c r="O169" s="77">
        <v>82.47</v>
      </c>
      <c r="P169" s="73">
        <f t="shared" si="2"/>
        <v>4.5454545454545459</v>
      </c>
    </row>
    <row r="170" spans="1:16" x14ac:dyDescent="0.25">
      <c r="A170" s="72" t="s">
        <v>224</v>
      </c>
      <c r="B170" s="73">
        <v>24</v>
      </c>
      <c r="C170" s="72" t="s">
        <v>15</v>
      </c>
      <c r="D170" s="74">
        <v>54000</v>
      </c>
      <c r="E170" s="75">
        <v>300</v>
      </c>
      <c r="F170" s="75">
        <v>8</v>
      </c>
      <c r="G170" s="76">
        <v>0.183</v>
      </c>
      <c r="H170" s="77">
        <v>3.53</v>
      </c>
      <c r="I170" s="77">
        <v>9.01</v>
      </c>
      <c r="J170" s="77">
        <v>2.4700000000000002</v>
      </c>
      <c r="K170" s="77">
        <v>10.69</v>
      </c>
      <c r="L170" s="77">
        <v>25.72</v>
      </c>
      <c r="M170" s="77">
        <v>4.63</v>
      </c>
      <c r="N170" s="77">
        <v>51.2</v>
      </c>
      <c r="O170" s="77">
        <v>81.56</v>
      </c>
      <c r="P170" s="73">
        <f t="shared" si="2"/>
        <v>5.4644808743169397</v>
      </c>
    </row>
    <row r="171" spans="1:16" x14ac:dyDescent="0.25">
      <c r="A171" s="72" t="s">
        <v>225</v>
      </c>
      <c r="B171" s="73">
        <v>32</v>
      </c>
      <c r="C171" s="72" t="s">
        <v>15</v>
      </c>
      <c r="D171" s="74">
        <v>70800</v>
      </c>
      <c r="E171" s="75">
        <v>300</v>
      </c>
      <c r="F171" s="75">
        <v>8</v>
      </c>
      <c r="G171" s="76">
        <v>0.13700000000000001</v>
      </c>
      <c r="H171" s="77">
        <v>2.65</v>
      </c>
      <c r="I171" s="77">
        <v>6.76</v>
      </c>
      <c r="J171" s="77">
        <v>2.4300000000000002</v>
      </c>
      <c r="K171" s="77">
        <v>8.02</v>
      </c>
      <c r="L171" s="77">
        <v>19.86</v>
      </c>
      <c r="M171" s="77">
        <v>4.55</v>
      </c>
      <c r="N171" s="77">
        <v>38.4</v>
      </c>
      <c r="O171" s="77">
        <v>62.83</v>
      </c>
      <c r="P171" s="73">
        <f t="shared" si="2"/>
        <v>7.2992700729926998</v>
      </c>
    </row>
    <row r="172" spans="1:16" x14ac:dyDescent="0.25">
      <c r="A172" s="72" t="s">
        <v>226</v>
      </c>
      <c r="B172" s="73">
        <v>22</v>
      </c>
      <c r="C172" s="72" t="s">
        <v>14</v>
      </c>
      <c r="D172" s="74">
        <v>46800</v>
      </c>
      <c r="E172" s="75">
        <v>300</v>
      </c>
      <c r="F172" s="75">
        <v>8</v>
      </c>
      <c r="G172" s="76">
        <v>0.11600000000000001</v>
      </c>
      <c r="H172" s="77">
        <v>2.23</v>
      </c>
      <c r="I172" s="77">
        <v>4.6500000000000004</v>
      </c>
      <c r="J172" s="77">
        <v>1.35</v>
      </c>
      <c r="K172" s="77">
        <v>5.59</v>
      </c>
      <c r="L172" s="77">
        <v>13.85</v>
      </c>
      <c r="M172" s="77">
        <v>2.54</v>
      </c>
      <c r="N172" s="77">
        <v>26.81</v>
      </c>
      <c r="O172" s="77">
        <v>43.2</v>
      </c>
      <c r="P172" s="73">
        <f t="shared" si="2"/>
        <v>8.6206896551724128</v>
      </c>
    </row>
    <row r="173" spans="1:16" x14ac:dyDescent="0.25">
      <c r="A173" s="72" t="s">
        <v>227</v>
      </c>
      <c r="B173" s="73">
        <v>25</v>
      </c>
      <c r="C173" s="72" t="s">
        <v>15</v>
      </c>
      <c r="D173" s="74">
        <v>45700</v>
      </c>
      <c r="E173" s="75">
        <v>300</v>
      </c>
      <c r="F173" s="75">
        <v>8</v>
      </c>
      <c r="G173" s="76">
        <v>0.10199999999999999</v>
      </c>
      <c r="H173" s="77">
        <v>1.96</v>
      </c>
      <c r="I173" s="77">
        <v>5.0199999999999996</v>
      </c>
      <c r="J173" s="77">
        <v>1.1599999999999999</v>
      </c>
      <c r="K173" s="77">
        <v>5.95</v>
      </c>
      <c r="L173" s="77">
        <v>14.12</v>
      </c>
      <c r="M173" s="77">
        <v>2.1800000000000002</v>
      </c>
      <c r="N173" s="77">
        <v>28.53</v>
      </c>
      <c r="O173" s="77">
        <v>44.84</v>
      </c>
      <c r="P173" s="73">
        <f t="shared" si="2"/>
        <v>9.8039215686274517</v>
      </c>
    </row>
    <row r="174" spans="1:16" x14ac:dyDescent="0.25">
      <c r="A174" s="72" t="s">
        <v>228</v>
      </c>
      <c r="B174" s="73">
        <v>30</v>
      </c>
      <c r="C174" s="72" t="s">
        <v>15</v>
      </c>
      <c r="D174" s="74">
        <v>55100</v>
      </c>
      <c r="E174" s="75">
        <v>300</v>
      </c>
      <c r="F174" s="75">
        <v>8</v>
      </c>
      <c r="G174" s="76">
        <v>8.5000000000000006E-2</v>
      </c>
      <c r="H174" s="77">
        <v>1.64</v>
      </c>
      <c r="I174" s="77">
        <v>4.18</v>
      </c>
      <c r="J174" s="77">
        <v>1.17</v>
      </c>
      <c r="K174" s="77">
        <v>4.96</v>
      </c>
      <c r="L174" s="77">
        <v>11.96</v>
      </c>
      <c r="M174" s="77">
        <v>2.19</v>
      </c>
      <c r="N174" s="77">
        <v>23.78</v>
      </c>
      <c r="O174" s="77">
        <v>37.94</v>
      </c>
      <c r="P174" s="73">
        <f t="shared" si="2"/>
        <v>11.76470588235294</v>
      </c>
    </row>
    <row r="175" spans="1:16" x14ac:dyDescent="0.25">
      <c r="A175" s="72" t="s">
        <v>229</v>
      </c>
      <c r="B175" s="73">
        <v>35</v>
      </c>
      <c r="C175" s="72" t="s">
        <v>16</v>
      </c>
      <c r="D175" s="74">
        <v>62900</v>
      </c>
      <c r="E175" s="75">
        <v>300</v>
      </c>
      <c r="F175" s="75">
        <v>8</v>
      </c>
      <c r="G175" s="76">
        <v>7.1999999999999995E-2</v>
      </c>
      <c r="H175" s="77">
        <v>1.4</v>
      </c>
      <c r="I175" s="77">
        <v>3.92</v>
      </c>
      <c r="J175" s="77">
        <v>1.1399999999999999</v>
      </c>
      <c r="K175" s="77">
        <v>4.29</v>
      </c>
      <c r="L175" s="77">
        <v>10.76</v>
      </c>
      <c r="M175" s="77">
        <v>2.14</v>
      </c>
      <c r="N175" s="77">
        <v>20.56</v>
      </c>
      <c r="O175" s="77">
        <v>33.479999999999997</v>
      </c>
      <c r="P175" s="73">
        <f t="shared" si="2"/>
        <v>13.888888888888889</v>
      </c>
    </row>
    <row r="176" spans="1:16" x14ac:dyDescent="0.25">
      <c r="A176" s="72" t="s">
        <v>230</v>
      </c>
      <c r="B176" s="73">
        <v>22</v>
      </c>
      <c r="C176" s="72" t="s">
        <v>14</v>
      </c>
      <c r="D176" s="74">
        <v>19800</v>
      </c>
      <c r="E176" s="75">
        <v>300</v>
      </c>
      <c r="F176" s="75">
        <v>8</v>
      </c>
      <c r="G176" s="76">
        <v>0.11600000000000001</v>
      </c>
      <c r="H176" s="77">
        <v>2.23</v>
      </c>
      <c r="I176" s="77">
        <v>4.6500000000000004</v>
      </c>
      <c r="J176" s="77">
        <v>0.56999999999999995</v>
      </c>
      <c r="K176" s="77">
        <v>5.59</v>
      </c>
      <c r="L176" s="77">
        <v>13.06</v>
      </c>
      <c r="M176" s="77">
        <v>1.07</v>
      </c>
      <c r="N176" s="77">
        <v>26.81</v>
      </c>
      <c r="O176" s="77">
        <v>40.950000000000003</v>
      </c>
      <c r="P176" s="73">
        <f t="shared" si="2"/>
        <v>8.6206896551724128</v>
      </c>
    </row>
    <row r="177" spans="1:16" x14ac:dyDescent="0.25">
      <c r="A177" s="72" t="s">
        <v>231</v>
      </c>
      <c r="B177" s="73">
        <v>25</v>
      </c>
      <c r="C177" s="72" t="s">
        <v>15</v>
      </c>
      <c r="D177" s="74">
        <v>49200</v>
      </c>
      <c r="E177" s="75">
        <v>300</v>
      </c>
      <c r="F177" s="75">
        <v>8</v>
      </c>
      <c r="G177" s="76">
        <v>0.10199999999999999</v>
      </c>
      <c r="H177" s="77">
        <v>1.96</v>
      </c>
      <c r="I177" s="77">
        <v>5.0199999999999996</v>
      </c>
      <c r="J177" s="77">
        <v>1.25</v>
      </c>
      <c r="K177" s="77">
        <v>5.95</v>
      </c>
      <c r="L177" s="77">
        <v>14.21</v>
      </c>
      <c r="M177" s="77">
        <v>2.35</v>
      </c>
      <c r="N177" s="77">
        <v>28.53</v>
      </c>
      <c r="O177" s="77">
        <v>45.1</v>
      </c>
      <c r="P177" s="73">
        <f t="shared" si="2"/>
        <v>9.8039215686274517</v>
      </c>
    </row>
    <row r="178" spans="1:16" x14ac:dyDescent="0.25">
      <c r="A178" s="72" t="s">
        <v>232</v>
      </c>
      <c r="B178" s="73">
        <v>30</v>
      </c>
      <c r="C178" s="72" t="s">
        <v>15</v>
      </c>
      <c r="D178" s="74">
        <v>63200</v>
      </c>
      <c r="E178" s="75">
        <v>300</v>
      </c>
      <c r="F178" s="75">
        <v>8</v>
      </c>
      <c r="G178" s="76">
        <v>8.5000000000000006E-2</v>
      </c>
      <c r="H178" s="77">
        <v>1.64</v>
      </c>
      <c r="I178" s="77">
        <v>4.18</v>
      </c>
      <c r="J178" s="77">
        <v>1.34</v>
      </c>
      <c r="K178" s="77">
        <v>4.96</v>
      </c>
      <c r="L178" s="77">
        <v>12.14</v>
      </c>
      <c r="M178" s="77">
        <v>2.5099999999999998</v>
      </c>
      <c r="N178" s="77">
        <v>23.78</v>
      </c>
      <c r="O178" s="77">
        <v>38.43</v>
      </c>
      <c r="P178" s="73">
        <f t="shared" si="2"/>
        <v>11.76470588235294</v>
      </c>
    </row>
    <row r="179" spans="1:16" x14ac:dyDescent="0.25">
      <c r="A179" s="5" t="s">
        <v>233</v>
      </c>
      <c r="B179" s="78">
        <v>50</v>
      </c>
      <c r="C179" s="5" t="s">
        <v>38</v>
      </c>
      <c r="D179" s="79">
        <v>13500</v>
      </c>
      <c r="E179" s="80">
        <v>200</v>
      </c>
      <c r="F179" s="80">
        <v>10</v>
      </c>
      <c r="G179" s="81">
        <v>0.151</v>
      </c>
      <c r="H179" s="82">
        <v>2.92</v>
      </c>
      <c r="I179" s="82">
        <v>4.3600000000000003</v>
      </c>
      <c r="J179" s="82">
        <v>0.4</v>
      </c>
      <c r="K179" s="82">
        <v>1.33</v>
      </c>
      <c r="L179" s="82">
        <v>9.02</v>
      </c>
      <c r="M179" s="82">
        <v>1.35</v>
      </c>
      <c r="N179" s="82">
        <v>10.29</v>
      </c>
      <c r="O179" s="82">
        <v>20.67</v>
      </c>
      <c r="P179" s="78">
        <f t="shared" si="2"/>
        <v>6.6225165562913908</v>
      </c>
    </row>
    <row r="180" spans="1:16" x14ac:dyDescent="0.25">
      <c r="A180" s="72" t="s">
        <v>234</v>
      </c>
      <c r="B180" s="73">
        <f>(8*38)/12</f>
        <v>25.333333333333332</v>
      </c>
      <c r="C180" s="72" t="s">
        <v>37</v>
      </c>
      <c r="D180" s="74">
        <v>17600</v>
      </c>
      <c r="E180" s="75">
        <v>100</v>
      </c>
      <c r="F180" s="75">
        <v>10</v>
      </c>
      <c r="G180" s="76">
        <v>3.0000000000000001E-3</v>
      </c>
      <c r="H180" s="77">
        <v>0.06</v>
      </c>
      <c r="I180" s="77">
        <v>0.09</v>
      </c>
      <c r="J180" s="77">
        <v>0.01</v>
      </c>
      <c r="K180" s="77">
        <v>0.02</v>
      </c>
      <c r="L180" s="77">
        <v>0.19</v>
      </c>
      <c r="M180" s="77">
        <v>0.08</v>
      </c>
      <c r="N180" s="77">
        <v>0.18</v>
      </c>
      <c r="O180" s="77">
        <v>0.46</v>
      </c>
      <c r="P180" s="73">
        <f t="shared" si="2"/>
        <v>333.33333333333331</v>
      </c>
    </row>
    <row r="181" spans="1:16" x14ac:dyDescent="0.25">
      <c r="A181" s="72" t="s">
        <v>235</v>
      </c>
      <c r="B181" s="73">
        <f>(8*38)/12</f>
        <v>25.333333333333332</v>
      </c>
      <c r="C181" s="72" t="s">
        <v>37</v>
      </c>
      <c r="D181" s="74">
        <v>12500</v>
      </c>
      <c r="E181" s="75">
        <v>100</v>
      </c>
      <c r="F181" s="75">
        <v>10</v>
      </c>
      <c r="G181" s="76">
        <v>3.0000000000000001E-3</v>
      </c>
      <c r="H181" s="77">
        <v>0.06</v>
      </c>
      <c r="I181" s="77">
        <v>0.09</v>
      </c>
      <c r="J181" s="77">
        <v>0</v>
      </c>
      <c r="K181" s="77">
        <v>0.02</v>
      </c>
      <c r="L181" s="77">
        <v>0.19</v>
      </c>
      <c r="M181" s="77">
        <v>0.05</v>
      </c>
      <c r="N181" s="77">
        <v>0.18</v>
      </c>
      <c r="O181" s="77">
        <v>0.44</v>
      </c>
      <c r="P181" s="73">
        <f t="shared" si="2"/>
        <v>333.33333333333331</v>
      </c>
    </row>
    <row r="182" spans="1:16" x14ac:dyDescent="0.25">
      <c r="A182" s="72" t="s">
        <v>236</v>
      </c>
      <c r="B182" s="73">
        <f>32/12</f>
        <v>2.6666666666666665</v>
      </c>
      <c r="C182" s="72" t="s">
        <v>36</v>
      </c>
      <c r="D182" s="74">
        <v>9220</v>
      </c>
      <c r="E182" s="75">
        <v>100</v>
      </c>
      <c r="F182" s="75">
        <v>10</v>
      </c>
      <c r="G182" s="76">
        <v>4.0000000000000001E-3</v>
      </c>
      <c r="H182" s="77">
        <v>0.08</v>
      </c>
      <c r="I182" s="77">
        <v>0.09</v>
      </c>
      <c r="J182" s="77">
        <v>0</v>
      </c>
      <c r="K182" s="77">
        <v>0.02</v>
      </c>
      <c r="L182" s="77">
        <v>0.2</v>
      </c>
      <c r="M182" s="77">
        <v>0.05</v>
      </c>
      <c r="N182" s="77">
        <v>0.18</v>
      </c>
      <c r="O182" s="77">
        <v>0.44</v>
      </c>
      <c r="P182" s="73">
        <f t="shared" si="2"/>
        <v>250</v>
      </c>
    </row>
    <row r="183" spans="1:16" x14ac:dyDescent="0.25">
      <c r="A183" s="5" t="s">
        <v>237</v>
      </c>
      <c r="B183" s="78">
        <f>(4*38)/12</f>
        <v>12.666666666666666</v>
      </c>
      <c r="C183" s="5" t="s">
        <v>38</v>
      </c>
      <c r="D183" s="79">
        <v>34700</v>
      </c>
      <c r="E183" s="80">
        <v>200</v>
      </c>
      <c r="F183" s="80">
        <v>10</v>
      </c>
      <c r="G183" s="81">
        <v>0.25700000000000001</v>
      </c>
      <c r="H183" s="82">
        <v>7.3</v>
      </c>
      <c r="I183" s="82">
        <v>7.41</v>
      </c>
      <c r="J183" s="82">
        <v>2.23</v>
      </c>
      <c r="K183" s="82">
        <v>2.2599999999999998</v>
      </c>
      <c r="L183" s="82">
        <v>19.21</v>
      </c>
      <c r="M183" s="82">
        <v>5.76</v>
      </c>
      <c r="N183" s="82">
        <v>17.5</v>
      </c>
      <c r="O183" s="82">
        <v>42.48</v>
      </c>
      <c r="P183" s="78">
        <f t="shared" si="2"/>
        <v>3.8910505836575875</v>
      </c>
    </row>
    <row r="184" spans="1:16" x14ac:dyDescent="0.25">
      <c r="A184" s="5" t="s">
        <v>238</v>
      </c>
      <c r="B184" s="78">
        <f>(4*38)/12</f>
        <v>12.666666666666666</v>
      </c>
      <c r="C184" s="5" t="s">
        <v>38</v>
      </c>
      <c r="D184" s="79">
        <v>34700</v>
      </c>
      <c r="E184" s="80">
        <v>200</v>
      </c>
      <c r="F184" s="80">
        <v>10</v>
      </c>
      <c r="G184" s="81">
        <v>0.25700000000000001</v>
      </c>
      <c r="H184" s="82">
        <v>7.3</v>
      </c>
      <c r="I184" s="82">
        <v>7.41</v>
      </c>
      <c r="J184" s="82">
        <v>2.23</v>
      </c>
      <c r="K184" s="82">
        <v>2.2599999999999998</v>
      </c>
      <c r="L184" s="82">
        <v>19.21</v>
      </c>
      <c r="M184" s="82">
        <v>5.76</v>
      </c>
      <c r="N184" s="82">
        <v>17.5</v>
      </c>
      <c r="O184" s="82">
        <v>42.48</v>
      </c>
      <c r="P184" s="78">
        <f t="shared" si="2"/>
        <v>3.8910505836575875</v>
      </c>
    </row>
    <row r="185" spans="1:16" x14ac:dyDescent="0.25">
      <c r="A185" s="5" t="s">
        <v>239</v>
      </c>
      <c r="B185" s="78">
        <f>(4*38)/12</f>
        <v>12.666666666666666</v>
      </c>
      <c r="C185" s="5" t="s">
        <v>38</v>
      </c>
      <c r="D185" s="79">
        <v>34700</v>
      </c>
      <c r="E185" s="80">
        <v>200</v>
      </c>
      <c r="F185" s="80">
        <v>10</v>
      </c>
      <c r="G185" s="81">
        <v>0.17199999999999999</v>
      </c>
      <c r="H185" s="82">
        <v>4.88</v>
      </c>
      <c r="I185" s="82">
        <v>4.95</v>
      </c>
      <c r="J185" s="82">
        <v>1.49</v>
      </c>
      <c r="K185" s="82">
        <v>1.51</v>
      </c>
      <c r="L185" s="82">
        <v>12.84</v>
      </c>
      <c r="M185" s="82">
        <v>3.85</v>
      </c>
      <c r="N185" s="82">
        <v>11.7</v>
      </c>
      <c r="O185" s="82">
        <v>28.39</v>
      </c>
      <c r="P185" s="78">
        <f t="shared" si="2"/>
        <v>5.8139534883720936</v>
      </c>
    </row>
    <row r="186" spans="1:16" x14ac:dyDescent="0.25">
      <c r="A186" s="5" t="s">
        <v>240</v>
      </c>
      <c r="B186" s="78">
        <f>(6*30)/12</f>
        <v>15</v>
      </c>
      <c r="C186" s="5" t="s">
        <v>38</v>
      </c>
      <c r="D186" s="79">
        <v>34700</v>
      </c>
      <c r="E186" s="80">
        <v>200</v>
      </c>
      <c r="F186" s="80">
        <v>10</v>
      </c>
      <c r="G186" s="81">
        <v>0.218</v>
      </c>
      <c r="H186" s="82">
        <v>6.18</v>
      </c>
      <c r="I186" s="82">
        <v>6.27</v>
      </c>
      <c r="J186" s="82">
        <v>1.89</v>
      </c>
      <c r="K186" s="82">
        <v>1.91</v>
      </c>
      <c r="L186" s="82">
        <v>16.27</v>
      </c>
      <c r="M186" s="82">
        <v>4.87</v>
      </c>
      <c r="N186" s="82">
        <v>14.82</v>
      </c>
      <c r="O186" s="82">
        <v>35.97</v>
      </c>
      <c r="P186" s="78">
        <f t="shared" si="2"/>
        <v>4.5871559633027523</v>
      </c>
    </row>
    <row r="187" spans="1:16" x14ac:dyDescent="0.25">
      <c r="A187" s="5" t="s">
        <v>241</v>
      </c>
      <c r="B187" s="78">
        <f>(6*38)/12</f>
        <v>19</v>
      </c>
      <c r="C187" s="5" t="s">
        <v>38</v>
      </c>
      <c r="D187" s="79">
        <v>34700</v>
      </c>
      <c r="E187" s="80">
        <v>200</v>
      </c>
      <c r="F187" s="80">
        <v>10</v>
      </c>
      <c r="G187" s="81">
        <v>0.17199999999999999</v>
      </c>
      <c r="H187" s="82">
        <v>4.88</v>
      </c>
      <c r="I187" s="82">
        <v>4.95</v>
      </c>
      <c r="J187" s="82">
        <v>1.49</v>
      </c>
      <c r="K187" s="82">
        <v>1.51</v>
      </c>
      <c r="L187" s="82">
        <v>12.84</v>
      </c>
      <c r="M187" s="82">
        <v>3.85</v>
      </c>
      <c r="N187" s="82">
        <v>11.7</v>
      </c>
      <c r="O187" s="82">
        <v>28.39</v>
      </c>
      <c r="P187" s="78">
        <f t="shared" si="2"/>
        <v>5.8139534883720936</v>
      </c>
    </row>
    <row r="188" spans="1:16" x14ac:dyDescent="0.25">
      <c r="A188" s="5" t="s">
        <v>459</v>
      </c>
      <c r="B188" s="84" t="s">
        <v>0</v>
      </c>
      <c r="C188" s="5" t="s">
        <v>41</v>
      </c>
      <c r="D188" s="79">
        <v>16600</v>
      </c>
      <c r="E188" s="80">
        <v>100</v>
      </c>
      <c r="F188" s="80">
        <v>10</v>
      </c>
      <c r="G188" s="81">
        <v>8.5000000000000006E-2</v>
      </c>
      <c r="H188" s="82">
        <v>1.64</v>
      </c>
      <c r="I188" s="82">
        <v>3.87</v>
      </c>
      <c r="J188" s="82">
        <v>0.35</v>
      </c>
      <c r="K188" s="82">
        <v>1.05</v>
      </c>
      <c r="L188" s="82">
        <v>6.93</v>
      </c>
      <c r="M188" s="82">
        <v>1.87</v>
      </c>
      <c r="N188" s="82">
        <v>8.15</v>
      </c>
      <c r="O188" s="82">
        <v>16.95</v>
      </c>
      <c r="P188" s="78">
        <f t="shared" si="2"/>
        <v>11.76470588235294</v>
      </c>
    </row>
    <row r="189" spans="1:16" x14ac:dyDescent="0.25">
      <c r="A189" s="72" t="s">
        <v>242</v>
      </c>
      <c r="B189" s="73">
        <v>10</v>
      </c>
      <c r="C189" s="72" t="s">
        <v>33</v>
      </c>
      <c r="D189" s="74">
        <v>54200</v>
      </c>
      <c r="E189" s="75">
        <v>150</v>
      </c>
      <c r="F189" s="75">
        <v>8</v>
      </c>
      <c r="G189" s="76">
        <v>0.21099999999999999</v>
      </c>
      <c r="H189" s="77">
        <v>5.99</v>
      </c>
      <c r="I189" s="77">
        <v>4.16</v>
      </c>
      <c r="J189" s="77">
        <v>4.29</v>
      </c>
      <c r="K189" s="77">
        <v>0.95</v>
      </c>
      <c r="L189" s="77">
        <v>15.41</v>
      </c>
      <c r="M189" s="77">
        <v>10.37</v>
      </c>
      <c r="N189" s="77">
        <v>7.14</v>
      </c>
      <c r="O189" s="77">
        <v>32.93</v>
      </c>
      <c r="P189" s="73">
        <f t="shared" si="2"/>
        <v>4.7393364928909953</v>
      </c>
    </row>
    <row r="190" spans="1:16" x14ac:dyDescent="0.25">
      <c r="A190" s="72" t="s">
        <v>243</v>
      </c>
      <c r="B190" s="73">
        <v>12</v>
      </c>
      <c r="C190" s="72" t="s">
        <v>33</v>
      </c>
      <c r="D190" s="74">
        <v>69800</v>
      </c>
      <c r="E190" s="75">
        <v>150</v>
      </c>
      <c r="F190" s="75">
        <v>8</v>
      </c>
      <c r="G190" s="76">
        <v>0.17599999999999999</v>
      </c>
      <c r="H190" s="77">
        <v>4.99</v>
      </c>
      <c r="I190" s="77">
        <v>3.46</v>
      </c>
      <c r="J190" s="77">
        <v>4.6100000000000003</v>
      </c>
      <c r="K190" s="77">
        <v>0.79</v>
      </c>
      <c r="L190" s="77">
        <v>13.87</v>
      </c>
      <c r="M190" s="77">
        <v>11.13</v>
      </c>
      <c r="N190" s="77">
        <v>5.95</v>
      </c>
      <c r="O190" s="77">
        <v>30.96</v>
      </c>
      <c r="P190" s="73">
        <f t="shared" si="2"/>
        <v>5.6818181818181825</v>
      </c>
    </row>
    <row r="191" spans="1:16" x14ac:dyDescent="0.25">
      <c r="A191" s="72" t="s">
        <v>244</v>
      </c>
      <c r="B191" s="73">
        <v>15</v>
      </c>
      <c r="C191" s="72" t="s">
        <v>36</v>
      </c>
      <c r="D191" s="74">
        <v>83200</v>
      </c>
      <c r="E191" s="75">
        <v>150</v>
      </c>
      <c r="F191" s="75">
        <v>8</v>
      </c>
      <c r="G191" s="76">
        <v>0.14099999999999999</v>
      </c>
      <c r="H191" s="77">
        <v>3.99</v>
      </c>
      <c r="I191" s="77">
        <v>3.2</v>
      </c>
      <c r="J191" s="77">
        <v>4.4000000000000004</v>
      </c>
      <c r="K191" s="77">
        <v>0.85</v>
      </c>
      <c r="L191" s="77">
        <v>12.45</v>
      </c>
      <c r="M191" s="77">
        <v>10.62</v>
      </c>
      <c r="N191" s="77">
        <v>6.39</v>
      </c>
      <c r="O191" s="77">
        <v>29.47</v>
      </c>
      <c r="P191" s="73">
        <f t="shared" si="2"/>
        <v>7.0921985815602842</v>
      </c>
    </row>
    <row r="192" spans="1:16" x14ac:dyDescent="0.25">
      <c r="A192" s="72" t="s">
        <v>245</v>
      </c>
      <c r="B192" s="73">
        <v>20</v>
      </c>
      <c r="C192" s="72" t="s">
        <v>37</v>
      </c>
      <c r="D192" s="74">
        <v>109000</v>
      </c>
      <c r="E192" s="75">
        <v>150</v>
      </c>
      <c r="F192" s="75">
        <v>8</v>
      </c>
      <c r="G192" s="76">
        <v>0.105</v>
      </c>
      <c r="H192" s="77">
        <v>2.99</v>
      </c>
      <c r="I192" s="77">
        <v>2.72</v>
      </c>
      <c r="J192" s="77">
        <v>4.32</v>
      </c>
      <c r="K192" s="77">
        <v>0.72</v>
      </c>
      <c r="L192" s="77">
        <v>10.76</v>
      </c>
      <c r="M192" s="77">
        <v>10.43</v>
      </c>
      <c r="N192" s="77">
        <v>5.58</v>
      </c>
      <c r="O192" s="77">
        <v>26.78</v>
      </c>
      <c r="P192" s="73">
        <f t="shared" si="2"/>
        <v>9.5238095238095237</v>
      </c>
    </row>
    <row r="193" spans="1:16" x14ac:dyDescent="0.25">
      <c r="A193" s="72" t="s">
        <v>246</v>
      </c>
      <c r="B193" s="73">
        <v>24</v>
      </c>
      <c r="C193" s="72" t="s">
        <v>38</v>
      </c>
      <c r="D193" s="74">
        <v>117000</v>
      </c>
      <c r="E193" s="75">
        <v>150</v>
      </c>
      <c r="F193" s="75">
        <v>8</v>
      </c>
      <c r="G193" s="76">
        <v>8.7999999999999995E-2</v>
      </c>
      <c r="H193" s="77">
        <v>2.4900000000000002</v>
      </c>
      <c r="I193" s="77">
        <v>2.5299999999999998</v>
      </c>
      <c r="J193" s="77">
        <v>3.86</v>
      </c>
      <c r="K193" s="77">
        <v>0.77</v>
      </c>
      <c r="L193" s="77">
        <v>9.67</v>
      </c>
      <c r="M193" s="77">
        <v>9.33</v>
      </c>
      <c r="N193" s="77">
        <v>5.98</v>
      </c>
      <c r="O193" s="77">
        <v>24.99</v>
      </c>
      <c r="P193" s="73">
        <f t="shared" si="2"/>
        <v>11.363636363636365</v>
      </c>
    </row>
    <row r="194" spans="1:16" x14ac:dyDescent="0.25">
      <c r="A194" s="72" t="s">
        <v>247</v>
      </c>
      <c r="B194" s="73">
        <v>30</v>
      </c>
      <c r="C194" s="72" t="s">
        <v>39</v>
      </c>
      <c r="D194" s="74">
        <v>116000</v>
      </c>
      <c r="E194" s="75">
        <v>150</v>
      </c>
      <c r="F194" s="75">
        <v>8</v>
      </c>
      <c r="G194" s="76">
        <v>7.0000000000000007E-2</v>
      </c>
      <c r="H194" s="77">
        <v>1.99</v>
      </c>
      <c r="I194" s="77">
        <v>2.4</v>
      </c>
      <c r="J194" s="77">
        <v>3.06</v>
      </c>
      <c r="K194" s="77">
        <v>0.67</v>
      </c>
      <c r="L194" s="77">
        <v>8.14</v>
      </c>
      <c r="M194" s="77">
        <v>7.4</v>
      </c>
      <c r="N194" s="77">
        <v>5.23</v>
      </c>
      <c r="O194" s="77">
        <v>20.77</v>
      </c>
      <c r="P194" s="73">
        <f t="shared" si="2"/>
        <v>14.285714285714285</v>
      </c>
    </row>
    <row r="195" spans="1:16" x14ac:dyDescent="0.25">
      <c r="A195" s="72" t="s">
        <v>248</v>
      </c>
      <c r="B195" s="73">
        <v>10</v>
      </c>
      <c r="C195" s="72" t="s">
        <v>33</v>
      </c>
      <c r="D195" s="74">
        <v>48100</v>
      </c>
      <c r="E195" s="75">
        <v>150</v>
      </c>
      <c r="F195" s="75">
        <v>8</v>
      </c>
      <c r="G195" s="76">
        <v>0.23499999999999999</v>
      </c>
      <c r="H195" s="77">
        <v>6.68</v>
      </c>
      <c r="I195" s="77">
        <v>4.63</v>
      </c>
      <c r="J195" s="77">
        <v>4.25</v>
      </c>
      <c r="K195" s="77">
        <v>1.06</v>
      </c>
      <c r="L195" s="77">
        <v>16.63</v>
      </c>
      <c r="M195" s="77">
        <v>10.26</v>
      </c>
      <c r="N195" s="77">
        <v>7.95</v>
      </c>
      <c r="O195" s="77">
        <v>34.85</v>
      </c>
      <c r="P195" s="73">
        <f t="shared" si="2"/>
        <v>4.2553191489361701</v>
      </c>
    </row>
    <row r="196" spans="1:16" x14ac:dyDescent="0.25">
      <c r="A196" s="72" t="s">
        <v>249</v>
      </c>
      <c r="B196" s="73">
        <v>12</v>
      </c>
      <c r="C196" s="72" t="s">
        <v>33</v>
      </c>
      <c r="D196" s="74">
        <v>63700</v>
      </c>
      <c r="E196" s="75">
        <v>150</v>
      </c>
      <c r="F196" s="75">
        <v>8</v>
      </c>
      <c r="G196" s="76">
        <v>0.16300000000000001</v>
      </c>
      <c r="H196" s="77">
        <v>4.63</v>
      </c>
      <c r="I196" s="77">
        <v>3.22</v>
      </c>
      <c r="J196" s="77">
        <v>3.91</v>
      </c>
      <c r="K196" s="77">
        <v>0.73</v>
      </c>
      <c r="L196" s="77">
        <v>12.5</v>
      </c>
      <c r="M196" s="77">
        <v>9.43</v>
      </c>
      <c r="N196" s="77">
        <v>5.52</v>
      </c>
      <c r="O196" s="77">
        <v>27.47</v>
      </c>
      <c r="P196" s="73">
        <f t="shared" si="2"/>
        <v>6.1349693251533743</v>
      </c>
    </row>
    <row r="197" spans="1:16" x14ac:dyDescent="0.25">
      <c r="A197" s="72" t="s">
        <v>250</v>
      </c>
      <c r="B197" s="73">
        <v>15</v>
      </c>
      <c r="C197" s="72" t="s">
        <v>36</v>
      </c>
      <c r="D197" s="74">
        <v>77100</v>
      </c>
      <c r="E197" s="75">
        <v>150</v>
      </c>
      <c r="F197" s="75">
        <v>8</v>
      </c>
      <c r="G197" s="76">
        <v>0.13</v>
      </c>
      <c r="H197" s="77">
        <v>3.71</v>
      </c>
      <c r="I197" s="77">
        <v>2.97</v>
      </c>
      <c r="J197" s="77">
        <v>3.78</v>
      </c>
      <c r="K197" s="77">
        <v>0.79</v>
      </c>
      <c r="L197" s="77">
        <v>11.26</v>
      </c>
      <c r="M197" s="77">
        <v>9.1300000000000008</v>
      </c>
      <c r="N197" s="77">
        <v>5.94</v>
      </c>
      <c r="O197" s="77">
        <v>26.34</v>
      </c>
      <c r="P197" s="73">
        <f t="shared" si="2"/>
        <v>7.6923076923076916</v>
      </c>
    </row>
    <row r="198" spans="1:16" x14ac:dyDescent="0.25">
      <c r="A198" s="72" t="s">
        <v>251</v>
      </c>
      <c r="B198" s="73">
        <v>20</v>
      </c>
      <c r="C198" s="72" t="s">
        <v>37</v>
      </c>
      <c r="D198" s="74">
        <v>103000</v>
      </c>
      <c r="E198" s="75">
        <v>150</v>
      </c>
      <c r="F198" s="75">
        <v>8</v>
      </c>
      <c r="G198" s="76">
        <v>9.8000000000000004E-2</v>
      </c>
      <c r="H198" s="77">
        <v>2.78</v>
      </c>
      <c r="I198" s="77">
        <v>2.52</v>
      </c>
      <c r="J198" s="77">
        <v>3.79</v>
      </c>
      <c r="K198" s="77">
        <v>0.67</v>
      </c>
      <c r="L198" s="77">
        <v>9.77</v>
      </c>
      <c r="M198" s="77">
        <v>9.15</v>
      </c>
      <c r="N198" s="77">
        <v>5.18</v>
      </c>
      <c r="O198" s="77">
        <v>24.11</v>
      </c>
      <c r="P198" s="73">
        <f t="shared" si="2"/>
        <v>10.204081632653061</v>
      </c>
    </row>
    <row r="199" spans="1:16" x14ac:dyDescent="0.25">
      <c r="A199" s="72" t="s">
        <v>252</v>
      </c>
      <c r="B199" s="73">
        <v>24</v>
      </c>
      <c r="C199" s="72" t="s">
        <v>38</v>
      </c>
      <c r="D199" s="74">
        <v>111300</v>
      </c>
      <c r="E199" s="75">
        <v>150</v>
      </c>
      <c r="F199" s="75">
        <v>8</v>
      </c>
      <c r="G199" s="76">
        <v>8.1000000000000003E-2</v>
      </c>
      <c r="H199" s="77">
        <v>2.31</v>
      </c>
      <c r="I199" s="77">
        <v>2.35</v>
      </c>
      <c r="J199" s="77">
        <v>3.41</v>
      </c>
      <c r="K199" s="77">
        <v>0.71</v>
      </c>
      <c r="L199" s="77">
        <v>8.8000000000000007</v>
      </c>
      <c r="M199" s="77">
        <v>8.24</v>
      </c>
      <c r="N199" s="77">
        <v>5.55</v>
      </c>
      <c r="O199" s="77">
        <v>22.61</v>
      </c>
      <c r="P199" s="73">
        <f t="shared" si="2"/>
        <v>12.345679012345679</v>
      </c>
    </row>
    <row r="200" spans="1:16" x14ac:dyDescent="0.25">
      <c r="A200" s="72" t="s">
        <v>253</v>
      </c>
      <c r="B200" s="73">
        <v>30</v>
      </c>
      <c r="C200" s="72" t="s">
        <v>39</v>
      </c>
      <c r="D200" s="74">
        <v>110200</v>
      </c>
      <c r="E200" s="75">
        <v>150</v>
      </c>
      <c r="F200" s="75">
        <v>8</v>
      </c>
      <c r="G200" s="76">
        <v>6.5000000000000002E-2</v>
      </c>
      <c r="H200" s="77">
        <v>1.85</v>
      </c>
      <c r="I200" s="77">
        <v>2.2200000000000002</v>
      </c>
      <c r="J200" s="77">
        <v>2.7</v>
      </c>
      <c r="K200" s="77">
        <v>0.62</v>
      </c>
      <c r="L200" s="77">
        <v>7.41</v>
      </c>
      <c r="M200" s="77">
        <v>6.53</v>
      </c>
      <c r="N200" s="77">
        <v>4.8499999999999996</v>
      </c>
      <c r="O200" s="77">
        <v>18.8</v>
      </c>
      <c r="P200" s="73">
        <f t="shared" si="2"/>
        <v>15.384615384615383</v>
      </c>
    </row>
    <row r="201" spans="1:16" x14ac:dyDescent="0.25">
      <c r="A201" s="5" t="s">
        <v>254</v>
      </c>
      <c r="B201" s="78">
        <f>(8*38)/12</f>
        <v>25.333333333333332</v>
      </c>
      <c r="C201" s="5" t="s">
        <v>37</v>
      </c>
      <c r="D201" s="79">
        <v>88300</v>
      </c>
      <c r="E201" s="80">
        <v>150</v>
      </c>
      <c r="F201" s="80">
        <v>8</v>
      </c>
      <c r="G201" s="81">
        <v>8.3000000000000004E-2</v>
      </c>
      <c r="H201" s="82">
        <v>2.36</v>
      </c>
      <c r="I201" s="82">
        <v>2.15</v>
      </c>
      <c r="J201" s="82">
        <v>2.76</v>
      </c>
      <c r="K201" s="82">
        <v>0.56999999999999995</v>
      </c>
      <c r="L201" s="82">
        <v>7.85</v>
      </c>
      <c r="M201" s="82">
        <v>6.68</v>
      </c>
      <c r="N201" s="82">
        <v>4.41</v>
      </c>
      <c r="O201" s="82">
        <v>18.95</v>
      </c>
      <c r="P201" s="78">
        <f t="shared" si="2"/>
        <v>12.048192771084336</v>
      </c>
    </row>
    <row r="202" spans="1:16" x14ac:dyDescent="0.25">
      <c r="A202" s="5" t="s">
        <v>255</v>
      </c>
      <c r="B202" s="78">
        <f>(8*38)/12</f>
        <v>25.333333333333332</v>
      </c>
      <c r="C202" s="5" t="s">
        <v>37</v>
      </c>
      <c r="D202" s="79">
        <v>153000</v>
      </c>
      <c r="E202" s="80">
        <v>150</v>
      </c>
      <c r="F202" s="80">
        <v>8</v>
      </c>
      <c r="G202" s="81">
        <v>5.5E-2</v>
      </c>
      <c r="H202" s="82">
        <v>1.57</v>
      </c>
      <c r="I202" s="82">
        <v>1.43</v>
      </c>
      <c r="J202" s="82">
        <v>3.19</v>
      </c>
      <c r="K202" s="82">
        <v>0.38</v>
      </c>
      <c r="L202" s="82">
        <v>6.58</v>
      </c>
      <c r="M202" s="82">
        <v>7.71</v>
      </c>
      <c r="N202" s="82">
        <v>2.93</v>
      </c>
      <c r="O202" s="82">
        <v>17.23</v>
      </c>
      <c r="P202" s="78">
        <f t="shared" ref="P202:P265" si="3">1/G202</f>
        <v>18.181818181818183</v>
      </c>
    </row>
    <row r="203" spans="1:16" x14ac:dyDescent="0.25">
      <c r="A203" s="5" t="s">
        <v>256</v>
      </c>
      <c r="B203" s="78">
        <f>(12*20)/12</f>
        <v>20</v>
      </c>
      <c r="C203" s="5" t="s">
        <v>38</v>
      </c>
      <c r="D203" s="79">
        <v>82800</v>
      </c>
      <c r="E203" s="80">
        <v>150</v>
      </c>
      <c r="F203" s="80">
        <v>8</v>
      </c>
      <c r="G203" s="81">
        <v>0.105</v>
      </c>
      <c r="H203" s="82">
        <v>2.99</v>
      </c>
      <c r="I203" s="82">
        <v>3.04</v>
      </c>
      <c r="J203" s="82">
        <v>3.28</v>
      </c>
      <c r="K203" s="82">
        <v>0.92</v>
      </c>
      <c r="L203" s="82">
        <v>10.25</v>
      </c>
      <c r="M203" s="82">
        <v>7.92</v>
      </c>
      <c r="N203" s="82">
        <v>7.18</v>
      </c>
      <c r="O203" s="82">
        <v>25.36</v>
      </c>
      <c r="P203" s="78">
        <f t="shared" si="3"/>
        <v>9.5238095238095237</v>
      </c>
    </row>
    <row r="204" spans="1:16" x14ac:dyDescent="0.25">
      <c r="A204" s="5" t="s">
        <v>257</v>
      </c>
      <c r="B204" s="78">
        <f>(12*30)/12</f>
        <v>30</v>
      </c>
      <c r="C204" s="5" t="s">
        <v>38</v>
      </c>
      <c r="D204" s="79">
        <v>140000</v>
      </c>
      <c r="E204" s="80">
        <v>150</v>
      </c>
      <c r="F204" s="80">
        <v>8</v>
      </c>
      <c r="G204" s="81">
        <v>7.0000000000000007E-2</v>
      </c>
      <c r="H204" s="82">
        <v>1.99</v>
      </c>
      <c r="I204" s="82">
        <v>2.02</v>
      </c>
      <c r="J204" s="82">
        <v>3.7</v>
      </c>
      <c r="K204" s="82">
        <v>0.61</v>
      </c>
      <c r="L204" s="82">
        <v>8.34</v>
      </c>
      <c r="M204" s="82">
        <v>8.93</v>
      </c>
      <c r="N204" s="82">
        <v>4.78</v>
      </c>
      <c r="O204" s="82">
        <v>22.07</v>
      </c>
      <c r="P204" s="78">
        <f t="shared" si="3"/>
        <v>14.285714285714285</v>
      </c>
    </row>
    <row r="205" spans="1:16" x14ac:dyDescent="0.25">
      <c r="A205" s="5" t="s">
        <v>258</v>
      </c>
      <c r="B205" s="78">
        <f>(12*38)/12</f>
        <v>38</v>
      </c>
      <c r="C205" s="5" t="s">
        <v>38</v>
      </c>
      <c r="D205" s="79">
        <v>163000</v>
      </c>
      <c r="E205" s="80">
        <v>150</v>
      </c>
      <c r="F205" s="80">
        <v>8</v>
      </c>
      <c r="G205" s="81">
        <v>5.5E-2</v>
      </c>
      <c r="H205" s="82">
        <v>1.57</v>
      </c>
      <c r="I205" s="82">
        <v>1.6</v>
      </c>
      <c r="J205" s="82">
        <v>3.4</v>
      </c>
      <c r="K205" s="82">
        <v>0.48</v>
      </c>
      <c r="L205" s="82">
        <v>7.07</v>
      </c>
      <c r="M205" s="82">
        <v>8.2100000000000009</v>
      </c>
      <c r="N205" s="82">
        <v>3.78</v>
      </c>
      <c r="O205" s="82">
        <v>19.059999999999999</v>
      </c>
      <c r="P205" s="78">
        <f t="shared" si="3"/>
        <v>18.181818181818183</v>
      </c>
    </row>
    <row r="206" spans="1:16" x14ac:dyDescent="0.25">
      <c r="A206" s="5" t="s">
        <v>259</v>
      </c>
      <c r="B206" s="78">
        <f>(16*30)/12</f>
        <v>40</v>
      </c>
      <c r="C206" s="5" t="s">
        <v>38</v>
      </c>
      <c r="D206" s="79">
        <v>221000</v>
      </c>
      <c r="E206" s="80">
        <v>150</v>
      </c>
      <c r="F206" s="80">
        <v>8</v>
      </c>
      <c r="G206" s="81">
        <v>5.1999999999999998E-2</v>
      </c>
      <c r="H206" s="82">
        <v>1.49</v>
      </c>
      <c r="I206" s="82">
        <v>1.52</v>
      </c>
      <c r="J206" s="82">
        <v>4.38</v>
      </c>
      <c r="K206" s="82">
        <v>0.46</v>
      </c>
      <c r="L206" s="82">
        <v>7.86</v>
      </c>
      <c r="M206" s="82">
        <v>10.57</v>
      </c>
      <c r="N206" s="82">
        <v>3.59</v>
      </c>
      <c r="O206" s="82">
        <v>22.03</v>
      </c>
      <c r="P206" s="78">
        <f t="shared" si="3"/>
        <v>19.23076923076923</v>
      </c>
    </row>
    <row r="207" spans="1:16" x14ac:dyDescent="0.25">
      <c r="A207" s="5" t="s">
        <v>260</v>
      </c>
      <c r="B207" s="78">
        <f>(23*15)/12</f>
        <v>28.75</v>
      </c>
      <c r="C207" s="5" t="s">
        <v>38</v>
      </c>
      <c r="D207" s="79">
        <v>218000</v>
      </c>
      <c r="E207" s="80">
        <v>150</v>
      </c>
      <c r="F207" s="80">
        <v>8</v>
      </c>
      <c r="G207" s="81">
        <v>7.2999999999999995E-2</v>
      </c>
      <c r="H207" s="82">
        <v>2.08</v>
      </c>
      <c r="I207" s="82">
        <v>2.11</v>
      </c>
      <c r="J207" s="82">
        <v>6</v>
      </c>
      <c r="K207" s="82">
        <v>0.64</v>
      </c>
      <c r="L207" s="82">
        <v>10.84</v>
      </c>
      <c r="M207" s="82">
        <v>14.49</v>
      </c>
      <c r="N207" s="82">
        <v>4.9800000000000004</v>
      </c>
      <c r="O207" s="82">
        <v>30.32</v>
      </c>
      <c r="P207" s="78">
        <f t="shared" si="3"/>
        <v>13.698630136986303</v>
      </c>
    </row>
    <row r="208" spans="1:16" x14ac:dyDescent="0.25">
      <c r="A208" s="5" t="s">
        <v>261</v>
      </c>
      <c r="B208" s="78">
        <f>(24*20)/12</f>
        <v>40</v>
      </c>
      <c r="C208" s="5" t="s">
        <v>38</v>
      </c>
      <c r="D208" s="79">
        <v>269000</v>
      </c>
      <c r="E208" s="80">
        <v>150</v>
      </c>
      <c r="F208" s="80">
        <v>8</v>
      </c>
      <c r="G208" s="81">
        <v>5.1999999999999998E-2</v>
      </c>
      <c r="H208" s="82">
        <v>1.49</v>
      </c>
      <c r="I208" s="82">
        <v>1.52</v>
      </c>
      <c r="J208" s="82">
        <v>5.33</v>
      </c>
      <c r="K208" s="82">
        <v>0.46</v>
      </c>
      <c r="L208" s="82">
        <v>8.81</v>
      </c>
      <c r="M208" s="82">
        <v>12.87</v>
      </c>
      <c r="N208" s="82">
        <v>3.59</v>
      </c>
      <c r="O208" s="82">
        <v>25.28</v>
      </c>
      <c r="P208" s="78">
        <f t="shared" si="3"/>
        <v>19.23076923076923</v>
      </c>
    </row>
    <row r="209" spans="1:16" x14ac:dyDescent="0.25">
      <c r="A209" s="5" t="s">
        <v>262</v>
      </c>
      <c r="B209" s="78">
        <f>(24*30)/12</f>
        <v>60</v>
      </c>
      <c r="C209" s="5" t="s">
        <v>38</v>
      </c>
      <c r="D209" s="79">
        <v>227000</v>
      </c>
      <c r="E209" s="80">
        <v>150</v>
      </c>
      <c r="F209" s="80">
        <v>8</v>
      </c>
      <c r="G209" s="81">
        <v>3.5000000000000003E-2</v>
      </c>
      <c r="H209" s="82">
        <v>0.99</v>
      </c>
      <c r="I209" s="82">
        <v>1.01</v>
      </c>
      <c r="J209" s="82">
        <v>3</v>
      </c>
      <c r="K209" s="82">
        <v>0.3</v>
      </c>
      <c r="L209" s="82">
        <v>5.32</v>
      </c>
      <c r="M209" s="82">
        <v>7.24</v>
      </c>
      <c r="N209" s="82">
        <v>2.39</v>
      </c>
      <c r="O209" s="82">
        <v>14.96</v>
      </c>
      <c r="P209" s="78">
        <f t="shared" si="3"/>
        <v>28.571428571428569</v>
      </c>
    </row>
    <row r="210" spans="1:16" x14ac:dyDescent="0.25">
      <c r="A210" s="5" t="s">
        <v>263</v>
      </c>
      <c r="B210" s="78">
        <f>(31*15)/12</f>
        <v>38.75</v>
      </c>
      <c r="C210" s="5" t="s">
        <v>39</v>
      </c>
      <c r="D210" s="79">
        <v>267000</v>
      </c>
      <c r="E210" s="80">
        <v>150</v>
      </c>
      <c r="F210" s="80">
        <v>8</v>
      </c>
      <c r="G210" s="81">
        <v>5.3999999999999999E-2</v>
      </c>
      <c r="H210" s="82">
        <v>1.54</v>
      </c>
      <c r="I210" s="82">
        <v>1.86</v>
      </c>
      <c r="J210" s="82">
        <v>5.47</v>
      </c>
      <c r="K210" s="82">
        <v>0.52</v>
      </c>
      <c r="L210" s="82">
        <v>9.4</v>
      </c>
      <c r="M210" s="82">
        <v>13.21</v>
      </c>
      <c r="N210" s="82">
        <v>4.05</v>
      </c>
      <c r="O210" s="82">
        <v>26.67</v>
      </c>
      <c r="P210" s="78">
        <f t="shared" si="3"/>
        <v>18.518518518518519</v>
      </c>
    </row>
    <row r="211" spans="1:16" x14ac:dyDescent="0.25">
      <c r="A211" s="5" t="s">
        <v>264</v>
      </c>
      <c r="B211" s="78">
        <f>(32*15)/12</f>
        <v>40</v>
      </c>
      <c r="C211" s="5" t="s">
        <v>39</v>
      </c>
      <c r="D211" s="79">
        <v>272000</v>
      </c>
      <c r="E211" s="80">
        <v>150</v>
      </c>
      <c r="F211" s="80">
        <v>8</v>
      </c>
      <c r="G211" s="81">
        <v>5.1999999999999998E-2</v>
      </c>
      <c r="H211" s="82">
        <v>1.49</v>
      </c>
      <c r="I211" s="82">
        <v>1.8</v>
      </c>
      <c r="J211" s="82">
        <v>5.39</v>
      </c>
      <c r="K211" s="82">
        <v>0.5</v>
      </c>
      <c r="L211" s="82">
        <v>9.1999999999999993</v>
      </c>
      <c r="M211" s="82">
        <v>13.02</v>
      </c>
      <c r="N211" s="82">
        <v>3.92</v>
      </c>
      <c r="O211" s="82">
        <v>26.14</v>
      </c>
      <c r="P211" s="78">
        <f t="shared" si="3"/>
        <v>19.23076923076923</v>
      </c>
    </row>
    <row r="212" spans="1:16" x14ac:dyDescent="0.25">
      <c r="A212" s="5" t="s">
        <v>265</v>
      </c>
      <c r="B212" s="78">
        <f>(4*30)/12</f>
        <v>10</v>
      </c>
      <c r="C212" s="5" t="s">
        <v>33</v>
      </c>
      <c r="D212" s="79">
        <v>43500</v>
      </c>
      <c r="E212" s="80">
        <v>150</v>
      </c>
      <c r="F212" s="80">
        <v>8</v>
      </c>
      <c r="G212" s="81">
        <v>0.21099999999999999</v>
      </c>
      <c r="H212" s="82">
        <v>5.99</v>
      </c>
      <c r="I212" s="82">
        <v>4.16</v>
      </c>
      <c r="J212" s="82">
        <v>3.45</v>
      </c>
      <c r="K212" s="82">
        <v>0.95</v>
      </c>
      <c r="L212" s="82">
        <v>14.56</v>
      </c>
      <c r="M212" s="82">
        <v>8.32</v>
      </c>
      <c r="N212" s="82">
        <v>7.14</v>
      </c>
      <c r="O212" s="82">
        <v>30.03</v>
      </c>
      <c r="P212" s="78">
        <f t="shared" si="3"/>
        <v>4.7393364928909953</v>
      </c>
    </row>
    <row r="213" spans="1:16" x14ac:dyDescent="0.25">
      <c r="A213" s="5" t="s">
        <v>266</v>
      </c>
      <c r="B213" s="78">
        <f>(4*38)/12</f>
        <v>12.666666666666666</v>
      </c>
      <c r="C213" s="5" t="s">
        <v>33</v>
      </c>
      <c r="D213" s="79">
        <v>38400</v>
      </c>
      <c r="E213" s="80">
        <v>150</v>
      </c>
      <c r="F213" s="80">
        <v>8</v>
      </c>
      <c r="G213" s="81">
        <v>0.16600000000000001</v>
      </c>
      <c r="H213" s="82">
        <v>4.72</v>
      </c>
      <c r="I213" s="82">
        <v>3.27</v>
      </c>
      <c r="J213" s="82">
        <v>2.39</v>
      </c>
      <c r="K213" s="82">
        <v>0.75</v>
      </c>
      <c r="L213" s="82">
        <v>11.14</v>
      </c>
      <c r="M213" s="82">
        <v>5.79</v>
      </c>
      <c r="N213" s="82">
        <v>5.62</v>
      </c>
      <c r="O213" s="82">
        <v>22.56</v>
      </c>
      <c r="P213" s="78">
        <f t="shared" si="3"/>
        <v>6.0240963855421681</v>
      </c>
    </row>
    <row r="214" spans="1:16" x14ac:dyDescent="0.25">
      <c r="A214" s="5" t="s">
        <v>267</v>
      </c>
      <c r="B214" s="78">
        <f>(6*30)/12</f>
        <v>15</v>
      </c>
      <c r="C214" s="5" t="s">
        <v>36</v>
      </c>
      <c r="D214" s="79">
        <v>52900</v>
      </c>
      <c r="E214" s="80">
        <v>150</v>
      </c>
      <c r="F214" s="80">
        <v>8</v>
      </c>
      <c r="G214" s="81">
        <v>0.14099999999999999</v>
      </c>
      <c r="H214" s="82">
        <v>3.99</v>
      </c>
      <c r="I214" s="82">
        <v>3.2</v>
      </c>
      <c r="J214" s="82">
        <v>2.79</v>
      </c>
      <c r="K214" s="82">
        <v>0.85</v>
      </c>
      <c r="L214" s="82">
        <v>10.85</v>
      </c>
      <c r="M214" s="82">
        <v>6.75</v>
      </c>
      <c r="N214" s="82">
        <v>6.39</v>
      </c>
      <c r="O214" s="82">
        <v>24</v>
      </c>
      <c r="P214" s="78">
        <f t="shared" si="3"/>
        <v>7.0921985815602842</v>
      </c>
    </row>
    <row r="215" spans="1:16" x14ac:dyDescent="0.25">
      <c r="A215" s="5" t="s">
        <v>268</v>
      </c>
      <c r="B215" s="78">
        <f>(6*38)/12</f>
        <v>19</v>
      </c>
      <c r="C215" s="5" t="s">
        <v>36</v>
      </c>
      <c r="D215" s="79">
        <v>49000</v>
      </c>
      <c r="E215" s="80">
        <v>150</v>
      </c>
      <c r="F215" s="80">
        <v>8</v>
      </c>
      <c r="G215" s="81">
        <v>0.111</v>
      </c>
      <c r="H215" s="82">
        <v>3.15</v>
      </c>
      <c r="I215" s="82">
        <v>2.52</v>
      </c>
      <c r="J215" s="82">
        <v>2.04</v>
      </c>
      <c r="K215" s="82">
        <v>0.67</v>
      </c>
      <c r="L215" s="82">
        <v>8.4</v>
      </c>
      <c r="M215" s="82">
        <v>4.93</v>
      </c>
      <c r="N215" s="82">
        <v>5.05</v>
      </c>
      <c r="O215" s="82">
        <v>18.39</v>
      </c>
      <c r="P215" s="78">
        <f t="shared" si="3"/>
        <v>9.0090090090090094</v>
      </c>
    </row>
    <row r="216" spans="1:16" x14ac:dyDescent="0.25">
      <c r="A216" s="5" t="s">
        <v>269</v>
      </c>
      <c r="B216" s="78">
        <f>(8*30)/12</f>
        <v>20</v>
      </c>
      <c r="C216" s="5" t="s">
        <v>37</v>
      </c>
      <c r="D216" s="79">
        <v>69400</v>
      </c>
      <c r="E216" s="80">
        <v>150</v>
      </c>
      <c r="F216" s="80">
        <v>8</v>
      </c>
      <c r="G216" s="81">
        <v>0.105</v>
      </c>
      <c r="H216" s="82">
        <v>2.99</v>
      </c>
      <c r="I216" s="82">
        <v>2.72</v>
      </c>
      <c r="J216" s="82">
        <v>2.75</v>
      </c>
      <c r="K216" s="82">
        <v>0.72</v>
      </c>
      <c r="L216" s="82">
        <v>9.19</v>
      </c>
      <c r="M216" s="82">
        <v>6.64</v>
      </c>
      <c r="N216" s="82">
        <v>5.58</v>
      </c>
      <c r="O216" s="82">
        <v>21.42</v>
      </c>
      <c r="P216" s="78">
        <f t="shared" si="3"/>
        <v>9.5238095238095237</v>
      </c>
    </row>
    <row r="217" spans="1:16" x14ac:dyDescent="0.25">
      <c r="A217" s="5" t="s">
        <v>270</v>
      </c>
      <c r="B217" s="78">
        <f>(8*38)/12</f>
        <v>25.333333333333332</v>
      </c>
      <c r="C217" s="5" t="s">
        <v>37</v>
      </c>
      <c r="D217" s="79">
        <v>65800</v>
      </c>
      <c r="E217" s="80">
        <v>150</v>
      </c>
      <c r="F217" s="80">
        <v>8</v>
      </c>
      <c r="G217" s="81">
        <v>8.3000000000000004E-2</v>
      </c>
      <c r="H217" s="82">
        <v>2.36</v>
      </c>
      <c r="I217" s="82">
        <v>2.15</v>
      </c>
      <c r="J217" s="82">
        <v>2.06</v>
      </c>
      <c r="K217" s="82">
        <v>0.56999999999999995</v>
      </c>
      <c r="L217" s="82">
        <v>7.15</v>
      </c>
      <c r="M217" s="82">
        <v>4.9800000000000004</v>
      </c>
      <c r="N217" s="82">
        <v>4.41</v>
      </c>
      <c r="O217" s="82">
        <v>16.54</v>
      </c>
      <c r="P217" s="78">
        <f t="shared" si="3"/>
        <v>12.048192771084336</v>
      </c>
    </row>
    <row r="218" spans="1:16" x14ac:dyDescent="0.25">
      <c r="A218" s="5" t="s">
        <v>271</v>
      </c>
      <c r="B218" s="78">
        <f>(11*15)/12</f>
        <v>13.75</v>
      </c>
      <c r="C218" s="5" t="s">
        <v>37</v>
      </c>
      <c r="D218" s="79">
        <v>71100</v>
      </c>
      <c r="E218" s="80">
        <v>150</v>
      </c>
      <c r="F218" s="80">
        <v>8</v>
      </c>
      <c r="G218" s="81">
        <v>0.14299999999999999</v>
      </c>
      <c r="H218" s="82">
        <v>4.07</v>
      </c>
      <c r="I218" s="82">
        <v>3.7</v>
      </c>
      <c r="J218" s="82">
        <v>3.83</v>
      </c>
      <c r="K218" s="82">
        <v>0.98</v>
      </c>
      <c r="L218" s="82">
        <v>12.59</v>
      </c>
      <c r="M218" s="82">
        <v>9.26</v>
      </c>
      <c r="N218" s="82">
        <v>7.59</v>
      </c>
      <c r="O218" s="82">
        <v>29.46</v>
      </c>
      <c r="P218" s="78">
        <f t="shared" si="3"/>
        <v>6.9930069930069934</v>
      </c>
    </row>
    <row r="219" spans="1:16" x14ac:dyDescent="0.25">
      <c r="A219" s="5" t="s">
        <v>272</v>
      </c>
      <c r="B219" s="78">
        <f>(11*20)/12</f>
        <v>18.333333333333332</v>
      </c>
      <c r="C219" s="5" t="s">
        <v>37</v>
      </c>
      <c r="D219" s="79">
        <v>75800</v>
      </c>
      <c r="E219" s="80">
        <v>150</v>
      </c>
      <c r="F219" s="80">
        <v>8</v>
      </c>
      <c r="G219" s="81">
        <v>0.115</v>
      </c>
      <c r="H219" s="82">
        <v>3.27</v>
      </c>
      <c r="I219" s="82">
        <v>2.97</v>
      </c>
      <c r="J219" s="82">
        <v>3.28</v>
      </c>
      <c r="K219" s="82">
        <v>0.78</v>
      </c>
      <c r="L219" s="82">
        <v>10.32</v>
      </c>
      <c r="M219" s="82">
        <v>7.93</v>
      </c>
      <c r="N219" s="82">
        <v>6.1</v>
      </c>
      <c r="O219" s="82">
        <v>24.35</v>
      </c>
      <c r="P219" s="78">
        <f t="shared" si="3"/>
        <v>8.695652173913043</v>
      </c>
    </row>
    <row r="220" spans="1:16" x14ac:dyDescent="0.25">
      <c r="A220" s="5" t="s">
        <v>273</v>
      </c>
      <c r="B220" s="78">
        <f>(12*20)/12</f>
        <v>20</v>
      </c>
      <c r="C220" s="5" t="s">
        <v>38</v>
      </c>
      <c r="D220" s="79">
        <v>80800</v>
      </c>
      <c r="E220" s="80">
        <v>150</v>
      </c>
      <c r="F220" s="80">
        <v>8</v>
      </c>
      <c r="G220" s="81">
        <v>0.105</v>
      </c>
      <c r="H220" s="82">
        <v>2.99</v>
      </c>
      <c r="I220" s="82">
        <v>3.04</v>
      </c>
      <c r="J220" s="82">
        <v>3.2</v>
      </c>
      <c r="K220" s="82">
        <v>0.92</v>
      </c>
      <c r="L220" s="82">
        <v>10.17</v>
      </c>
      <c r="M220" s="82">
        <v>7.73</v>
      </c>
      <c r="N220" s="82">
        <v>7.18</v>
      </c>
      <c r="O220" s="82">
        <v>25.09</v>
      </c>
      <c r="P220" s="78">
        <f t="shared" si="3"/>
        <v>9.5238095238095237</v>
      </c>
    </row>
    <row r="221" spans="1:16" x14ac:dyDescent="0.25">
      <c r="A221" s="5" t="s">
        <v>274</v>
      </c>
      <c r="B221" s="78">
        <f>(12*30)/12</f>
        <v>30</v>
      </c>
      <c r="C221" s="5" t="s">
        <v>38</v>
      </c>
      <c r="D221" s="79">
        <v>100700</v>
      </c>
      <c r="E221" s="80">
        <v>150</v>
      </c>
      <c r="F221" s="80">
        <v>8</v>
      </c>
      <c r="G221" s="81">
        <v>7.0000000000000007E-2</v>
      </c>
      <c r="H221" s="82">
        <v>1.99</v>
      </c>
      <c r="I221" s="82">
        <v>2.02</v>
      </c>
      <c r="J221" s="82">
        <v>2.66</v>
      </c>
      <c r="K221" s="82">
        <v>0.61</v>
      </c>
      <c r="L221" s="82">
        <v>7.3</v>
      </c>
      <c r="M221" s="82">
        <v>6.42</v>
      </c>
      <c r="N221" s="82">
        <v>4.78</v>
      </c>
      <c r="O221" s="82">
        <v>18.52</v>
      </c>
      <c r="P221" s="78">
        <f t="shared" si="3"/>
        <v>14.285714285714285</v>
      </c>
    </row>
    <row r="222" spans="1:16" x14ac:dyDescent="0.25">
      <c r="A222" s="5" t="s">
        <v>275</v>
      </c>
      <c r="B222" s="78">
        <f>(15*15)/12</f>
        <v>18.75</v>
      </c>
      <c r="C222" s="5" t="s">
        <v>38</v>
      </c>
      <c r="D222" s="79">
        <v>99300</v>
      </c>
      <c r="E222" s="80">
        <v>150</v>
      </c>
      <c r="F222" s="80">
        <v>8</v>
      </c>
      <c r="G222" s="81">
        <v>0.113</v>
      </c>
      <c r="H222" s="82">
        <v>3.2</v>
      </c>
      <c r="I222" s="82">
        <v>3.25</v>
      </c>
      <c r="J222" s="82">
        <v>4.21</v>
      </c>
      <c r="K222" s="82">
        <v>0.99</v>
      </c>
      <c r="L222" s="82">
        <v>11.66</v>
      </c>
      <c r="M222" s="82">
        <v>10.16</v>
      </c>
      <c r="N222" s="82">
        <v>7.68</v>
      </c>
      <c r="O222" s="82">
        <v>29.51</v>
      </c>
      <c r="P222" s="78">
        <f t="shared" si="3"/>
        <v>8.8495575221238933</v>
      </c>
    </row>
    <row r="223" spans="1:16" x14ac:dyDescent="0.25">
      <c r="A223" s="5" t="s">
        <v>276</v>
      </c>
      <c r="B223" s="78">
        <f>(8*30)/12</f>
        <v>20</v>
      </c>
      <c r="C223" s="5" t="s">
        <v>39</v>
      </c>
      <c r="D223" s="79">
        <v>135600</v>
      </c>
      <c r="E223" s="80">
        <v>150</v>
      </c>
      <c r="F223" s="80">
        <v>8</v>
      </c>
      <c r="G223" s="81">
        <v>8.3000000000000004E-2</v>
      </c>
      <c r="H223" s="82">
        <v>2.36</v>
      </c>
      <c r="I223" s="82">
        <v>2.84</v>
      </c>
      <c r="J223" s="82">
        <v>4.25</v>
      </c>
      <c r="K223" s="82">
        <v>0.8</v>
      </c>
      <c r="L223" s="82">
        <v>10.27</v>
      </c>
      <c r="M223" s="82">
        <v>10.26</v>
      </c>
      <c r="N223" s="82">
        <v>6.2</v>
      </c>
      <c r="O223" s="82">
        <v>26.73</v>
      </c>
      <c r="P223" s="78">
        <f t="shared" si="3"/>
        <v>12.048192771084336</v>
      </c>
    </row>
    <row r="224" spans="1:16" x14ac:dyDescent="0.25">
      <c r="A224" s="5" t="s">
        <v>277</v>
      </c>
      <c r="B224" s="78">
        <f>(12*30)/12</f>
        <v>30</v>
      </c>
      <c r="C224" s="5" t="s">
        <v>39</v>
      </c>
      <c r="D224" s="79">
        <v>173000</v>
      </c>
      <c r="E224" s="80">
        <v>150</v>
      </c>
      <c r="F224" s="80">
        <v>8</v>
      </c>
      <c r="G224" s="81">
        <v>5.5E-2</v>
      </c>
      <c r="H224" s="82">
        <v>1.57</v>
      </c>
      <c r="I224" s="82">
        <v>1.89</v>
      </c>
      <c r="J224" s="82">
        <v>3.61</v>
      </c>
      <c r="K224" s="82">
        <v>0.53</v>
      </c>
      <c r="L224" s="82">
        <v>7.61</v>
      </c>
      <c r="M224" s="82">
        <v>8.7100000000000009</v>
      </c>
      <c r="N224" s="82">
        <v>4.13</v>
      </c>
      <c r="O224" s="82">
        <v>20.46</v>
      </c>
      <c r="P224" s="78">
        <f t="shared" si="3"/>
        <v>18.181818181818183</v>
      </c>
    </row>
    <row r="225" spans="1:16" x14ac:dyDescent="0.25">
      <c r="A225" s="5" t="s">
        <v>278</v>
      </c>
      <c r="B225" s="78">
        <f>(8*38)/12</f>
        <v>25.333333333333332</v>
      </c>
      <c r="C225" s="5" t="s">
        <v>37</v>
      </c>
      <c r="D225" s="79">
        <v>82200</v>
      </c>
      <c r="E225" s="80">
        <v>150</v>
      </c>
      <c r="F225" s="80">
        <v>8</v>
      </c>
      <c r="G225" s="81">
        <v>7.6999999999999999E-2</v>
      </c>
      <c r="H225" s="82">
        <v>2.2000000000000002</v>
      </c>
      <c r="I225" s="82">
        <v>1.99</v>
      </c>
      <c r="J225" s="82">
        <v>2.39</v>
      </c>
      <c r="K225" s="82">
        <v>0.53</v>
      </c>
      <c r="L225" s="82">
        <v>7.12</v>
      </c>
      <c r="M225" s="82">
        <v>5.77</v>
      </c>
      <c r="N225" s="82">
        <v>4.0999999999999996</v>
      </c>
      <c r="O225" s="82">
        <v>16.989999999999998</v>
      </c>
      <c r="P225" s="78">
        <f t="shared" si="3"/>
        <v>12.987012987012987</v>
      </c>
    </row>
    <row r="226" spans="1:16" x14ac:dyDescent="0.25">
      <c r="A226" s="5" t="s">
        <v>279</v>
      </c>
      <c r="B226" s="78">
        <f>(8*38)/12</f>
        <v>25.333333333333332</v>
      </c>
      <c r="C226" s="5" t="s">
        <v>37</v>
      </c>
      <c r="D226" s="79">
        <v>153000</v>
      </c>
      <c r="E226" s="80">
        <v>150</v>
      </c>
      <c r="F226" s="80">
        <v>8</v>
      </c>
      <c r="G226" s="81">
        <v>5.0999999999999997E-2</v>
      </c>
      <c r="H226" s="82">
        <v>1.46</v>
      </c>
      <c r="I226" s="82">
        <v>1.32</v>
      </c>
      <c r="J226" s="82">
        <v>2.96</v>
      </c>
      <c r="K226" s="82">
        <v>0.35</v>
      </c>
      <c r="L226" s="82">
        <v>6.11</v>
      </c>
      <c r="M226" s="82">
        <v>7.15</v>
      </c>
      <c r="N226" s="82">
        <v>2.72</v>
      </c>
      <c r="O226" s="82">
        <v>16</v>
      </c>
      <c r="P226" s="78">
        <f t="shared" si="3"/>
        <v>19.607843137254903</v>
      </c>
    </row>
    <row r="227" spans="1:16" x14ac:dyDescent="0.25">
      <c r="A227" s="5" t="s">
        <v>280</v>
      </c>
      <c r="B227" s="78">
        <f>(12*20)/12</f>
        <v>20</v>
      </c>
      <c r="C227" s="5" t="s">
        <v>38</v>
      </c>
      <c r="D227" s="79">
        <v>77500</v>
      </c>
      <c r="E227" s="80">
        <v>150</v>
      </c>
      <c r="F227" s="80">
        <v>8</v>
      </c>
      <c r="G227" s="81">
        <v>9.8000000000000004E-2</v>
      </c>
      <c r="H227" s="82">
        <v>2.78</v>
      </c>
      <c r="I227" s="82">
        <v>2.82</v>
      </c>
      <c r="J227" s="82">
        <v>2.85</v>
      </c>
      <c r="K227" s="82">
        <v>0.86</v>
      </c>
      <c r="L227" s="82">
        <v>9.32</v>
      </c>
      <c r="M227" s="82">
        <v>6.88</v>
      </c>
      <c r="N227" s="82">
        <v>6.66</v>
      </c>
      <c r="O227" s="82">
        <v>22.88</v>
      </c>
      <c r="P227" s="78">
        <f t="shared" si="3"/>
        <v>10.204081632653061</v>
      </c>
    </row>
    <row r="228" spans="1:16" x14ac:dyDescent="0.25">
      <c r="A228" s="5" t="s">
        <v>281</v>
      </c>
      <c r="B228" s="78">
        <f>(12*30)/12</f>
        <v>30</v>
      </c>
      <c r="C228" s="5" t="s">
        <v>38</v>
      </c>
      <c r="D228" s="79">
        <v>129800</v>
      </c>
      <c r="E228" s="80">
        <v>150</v>
      </c>
      <c r="F228" s="80">
        <v>8</v>
      </c>
      <c r="G228" s="81">
        <v>6.5000000000000002E-2</v>
      </c>
      <c r="H228" s="82">
        <v>1.85</v>
      </c>
      <c r="I228" s="82">
        <v>1.88</v>
      </c>
      <c r="J228" s="82">
        <v>3.18</v>
      </c>
      <c r="K228" s="82">
        <v>0.56999999999999995</v>
      </c>
      <c r="L228" s="82">
        <v>7.5</v>
      </c>
      <c r="M228" s="82">
        <v>7.69</v>
      </c>
      <c r="N228" s="82">
        <v>4.4400000000000004</v>
      </c>
      <c r="O228" s="82">
        <v>19.64</v>
      </c>
      <c r="P228" s="78">
        <f t="shared" si="3"/>
        <v>15.384615384615383</v>
      </c>
    </row>
    <row r="229" spans="1:16" x14ac:dyDescent="0.25">
      <c r="A229" s="5" t="s">
        <v>282</v>
      </c>
      <c r="B229" s="78">
        <f>(12*38)/12</f>
        <v>38</v>
      </c>
      <c r="C229" s="5" t="s">
        <v>38</v>
      </c>
      <c r="D229" s="79">
        <v>153000</v>
      </c>
      <c r="E229" s="80">
        <v>150</v>
      </c>
      <c r="F229" s="80">
        <v>8</v>
      </c>
      <c r="G229" s="81">
        <v>5.0999999999999997E-2</v>
      </c>
      <c r="H229" s="82">
        <v>1.46</v>
      </c>
      <c r="I229" s="82">
        <v>1.48</v>
      </c>
      <c r="J229" s="82">
        <v>2.96</v>
      </c>
      <c r="K229" s="82">
        <v>0.45</v>
      </c>
      <c r="L229" s="82">
        <v>6.37</v>
      </c>
      <c r="M229" s="82">
        <v>7.15</v>
      </c>
      <c r="N229" s="82">
        <v>3.51</v>
      </c>
      <c r="O229" s="82">
        <v>17.04</v>
      </c>
      <c r="P229" s="78">
        <f t="shared" si="3"/>
        <v>19.607843137254903</v>
      </c>
    </row>
    <row r="230" spans="1:16" x14ac:dyDescent="0.25">
      <c r="A230" s="5" t="s">
        <v>283</v>
      </c>
      <c r="B230" s="78">
        <f>(16*30)/12</f>
        <v>40</v>
      </c>
      <c r="C230" s="5" t="s">
        <v>38</v>
      </c>
      <c r="D230" s="79">
        <v>210000</v>
      </c>
      <c r="E230" s="80">
        <v>150</v>
      </c>
      <c r="F230" s="80">
        <v>8</v>
      </c>
      <c r="G230" s="81">
        <v>4.9000000000000002E-2</v>
      </c>
      <c r="H230" s="82">
        <v>1.39</v>
      </c>
      <c r="I230" s="82">
        <v>1.41</v>
      </c>
      <c r="J230" s="82">
        <v>3.86</v>
      </c>
      <c r="K230" s="82">
        <v>0.43</v>
      </c>
      <c r="L230" s="82">
        <v>7.1</v>
      </c>
      <c r="M230" s="82">
        <v>9.33</v>
      </c>
      <c r="N230" s="82">
        <v>3.33</v>
      </c>
      <c r="O230" s="82">
        <v>19.77</v>
      </c>
      <c r="P230" s="78">
        <f t="shared" si="3"/>
        <v>20.408163265306122</v>
      </c>
    </row>
    <row r="231" spans="1:16" x14ac:dyDescent="0.25">
      <c r="A231" s="5" t="s">
        <v>284</v>
      </c>
      <c r="B231" s="78">
        <f>(23*15)/12</f>
        <v>28.75</v>
      </c>
      <c r="C231" s="5" t="s">
        <v>38</v>
      </c>
      <c r="D231" s="79">
        <v>207000</v>
      </c>
      <c r="E231" s="80">
        <v>150</v>
      </c>
      <c r="F231" s="80">
        <v>8</v>
      </c>
      <c r="G231" s="81">
        <v>6.8000000000000005E-2</v>
      </c>
      <c r="H231" s="82">
        <v>1.93</v>
      </c>
      <c r="I231" s="82">
        <v>1.96</v>
      </c>
      <c r="J231" s="82">
        <v>5.29</v>
      </c>
      <c r="K231" s="82">
        <v>0.59</v>
      </c>
      <c r="L231" s="82">
        <v>9.7799999999999994</v>
      </c>
      <c r="M231" s="82">
        <v>12.77</v>
      </c>
      <c r="N231" s="82">
        <v>4.63</v>
      </c>
      <c r="O231" s="82">
        <v>27.19</v>
      </c>
      <c r="P231" s="78">
        <f t="shared" si="3"/>
        <v>14.705882352941176</v>
      </c>
    </row>
    <row r="232" spans="1:16" x14ac:dyDescent="0.25">
      <c r="A232" s="5" t="s">
        <v>285</v>
      </c>
      <c r="B232" s="78">
        <f>(24*20)/12</f>
        <v>40</v>
      </c>
      <c r="C232" s="5" t="s">
        <v>38</v>
      </c>
      <c r="D232" s="79">
        <v>258000</v>
      </c>
      <c r="E232" s="80">
        <v>150</v>
      </c>
      <c r="F232" s="80">
        <v>8</v>
      </c>
      <c r="G232" s="81">
        <v>4.9000000000000002E-2</v>
      </c>
      <c r="H232" s="82">
        <v>1.39</v>
      </c>
      <c r="I232" s="82">
        <v>1.41</v>
      </c>
      <c r="J232" s="82">
        <v>4.75</v>
      </c>
      <c r="K232" s="82">
        <v>0.43</v>
      </c>
      <c r="L232" s="82">
        <v>7.98</v>
      </c>
      <c r="M232" s="82">
        <v>11.46</v>
      </c>
      <c r="N232" s="82">
        <v>3.33</v>
      </c>
      <c r="O232" s="82">
        <v>22.79</v>
      </c>
      <c r="P232" s="78">
        <f t="shared" si="3"/>
        <v>20.408163265306122</v>
      </c>
    </row>
    <row r="233" spans="1:16" x14ac:dyDescent="0.25">
      <c r="A233" s="5" t="s">
        <v>286</v>
      </c>
      <c r="B233" s="78">
        <f>(24*30)/12</f>
        <v>60</v>
      </c>
      <c r="C233" s="5" t="s">
        <v>38</v>
      </c>
      <c r="D233" s="79">
        <v>208000</v>
      </c>
      <c r="E233" s="80">
        <v>150</v>
      </c>
      <c r="F233" s="80">
        <v>8</v>
      </c>
      <c r="G233" s="81">
        <v>3.2000000000000001E-2</v>
      </c>
      <c r="H233" s="82">
        <v>0.92</v>
      </c>
      <c r="I233" s="82">
        <v>0.94</v>
      </c>
      <c r="J233" s="82">
        <v>2.5499999999999998</v>
      </c>
      <c r="K233" s="82">
        <v>0.28000000000000003</v>
      </c>
      <c r="L233" s="82">
        <v>4.71</v>
      </c>
      <c r="M233" s="82">
        <v>6.16</v>
      </c>
      <c r="N233" s="82">
        <v>2.2200000000000002</v>
      </c>
      <c r="O233" s="82">
        <v>13.09</v>
      </c>
      <c r="P233" s="78">
        <f t="shared" si="3"/>
        <v>31.25</v>
      </c>
    </row>
    <row r="234" spans="1:16" x14ac:dyDescent="0.25">
      <c r="A234" s="5" t="s">
        <v>287</v>
      </c>
      <c r="B234" s="78">
        <f>(31*15)/12</f>
        <v>38.75</v>
      </c>
      <c r="C234" s="5" t="s">
        <v>39</v>
      </c>
      <c r="D234" s="79">
        <v>256000</v>
      </c>
      <c r="E234" s="80">
        <v>150</v>
      </c>
      <c r="F234" s="80">
        <v>8</v>
      </c>
      <c r="G234" s="81">
        <v>0.05</v>
      </c>
      <c r="H234" s="82">
        <v>1.43</v>
      </c>
      <c r="I234" s="82">
        <v>1.72</v>
      </c>
      <c r="J234" s="82">
        <v>4.87</v>
      </c>
      <c r="K234" s="82">
        <v>0.48</v>
      </c>
      <c r="L234" s="82">
        <v>8.52</v>
      </c>
      <c r="M234" s="82">
        <v>11.76</v>
      </c>
      <c r="N234" s="82">
        <v>3.76</v>
      </c>
      <c r="O234" s="82">
        <v>24.05</v>
      </c>
      <c r="P234" s="78">
        <f t="shared" si="3"/>
        <v>20</v>
      </c>
    </row>
    <row r="235" spans="1:16" x14ac:dyDescent="0.25">
      <c r="A235" s="5" t="s">
        <v>288</v>
      </c>
      <c r="B235" s="78">
        <f>(32*15)/12</f>
        <v>40</v>
      </c>
      <c r="C235" s="5" t="s">
        <v>39</v>
      </c>
      <c r="D235" s="79">
        <v>261000</v>
      </c>
      <c r="E235" s="80">
        <v>150</v>
      </c>
      <c r="F235" s="80">
        <v>8</v>
      </c>
      <c r="G235" s="81">
        <v>4.9000000000000002E-2</v>
      </c>
      <c r="H235" s="82">
        <v>1.39</v>
      </c>
      <c r="I235" s="82">
        <v>1.67</v>
      </c>
      <c r="J235" s="82">
        <v>4.8</v>
      </c>
      <c r="K235" s="82">
        <v>0.47</v>
      </c>
      <c r="L235" s="82">
        <v>8.34</v>
      </c>
      <c r="M235" s="82">
        <v>11.6</v>
      </c>
      <c r="N235" s="82">
        <v>3.64</v>
      </c>
      <c r="O235" s="82">
        <v>23.58</v>
      </c>
      <c r="P235" s="78">
        <f t="shared" si="3"/>
        <v>20.408163265306122</v>
      </c>
    </row>
    <row r="236" spans="1:16" x14ac:dyDescent="0.25">
      <c r="A236" s="5" t="s">
        <v>289</v>
      </c>
      <c r="B236" s="78">
        <f>(4*30)/12</f>
        <v>10</v>
      </c>
      <c r="C236" s="5" t="s">
        <v>33</v>
      </c>
      <c r="D236" s="79">
        <v>37400</v>
      </c>
      <c r="E236" s="80">
        <v>150</v>
      </c>
      <c r="F236" s="80">
        <v>8</v>
      </c>
      <c r="G236" s="81">
        <v>0.19600000000000001</v>
      </c>
      <c r="H236" s="82">
        <v>5.56</v>
      </c>
      <c r="I236" s="82">
        <v>3.86</v>
      </c>
      <c r="J236" s="82">
        <v>2.75</v>
      </c>
      <c r="K236" s="82">
        <v>0.88</v>
      </c>
      <c r="L236" s="82">
        <v>13.07</v>
      </c>
      <c r="M236" s="82">
        <v>6.65</v>
      </c>
      <c r="N236" s="82">
        <v>6.63</v>
      </c>
      <c r="O236" s="82">
        <v>26.35</v>
      </c>
      <c r="P236" s="78">
        <f t="shared" si="3"/>
        <v>5.1020408163265305</v>
      </c>
    </row>
    <row r="237" spans="1:16" x14ac:dyDescent="0.25">
      <c r="A237" s="5" t="s">
        <v>290</v>
      </c>
      <c r="B237" s="78">
        <f>(4*38)/12</f>
        <v>12.666666666666666</v>
      </c>
      <c r="C237" s="5" t="s">
        <v>33</v>
      </c>
      <c r="D237" s="79">
        <v>32300</v>
      </c>
      <c r="E237" s="80">
        <v>150</v>
      </c>
      <c r="F237" s="80">
        <v>8</v>
      </c>
      <c r="G237" s="81">
        <v>0.154</v>
      </c>
      <c r="H237" s="82">
        <v>4.38</v>
      </c>
      <c r="I237" s="82">
        <v>3.04</v>
      </c>
      <c r="J237" s="82">
        <v>1.87</v>
      </c>
      <c r="K237" s="82">
        <v>0.69</v>
      </c>
      <c r="L237" s="82">
        <v>9.99</v>
      </c>
      <c r="M237" s="82">
        <v>4.5199999999999996</v>
      </c>
      <c r="N237" s="82">
        <v>5.22</v>
      </c>
      <c r="O237" s="82">
        <v>19.739999999999998</v>
      </c>
      <c r="P237" s="78">
        <f t="shared" si="3"/>
        <v>6.4935064935064934</v>
      </c>
    </row>
    <row r="238" spans="1:16" x14ac:dyDescent="0.25">
      <c r="A238" s="5" t="s">
        <v>291</v>
      </c>
      <c r="B238" s="78">
        <f>(6*30)/12</f>
        <v>15</v>
      </c>
      <c r="C238" s="5" t="s">
        <v>36</v>
      </c>
      <c r="D238" s="79">
        <v>46800</v>
      </c>
      <c r="E238" s="80">
        <v>150</v>
      </c>
      <c r="F238" s="80">
        <v>8</v>
      </c>
      <c r="G238" s="81">
        <v>0.13</v>
      </c>
      <c r="H238" s="82">
        <v>3.71</v>
      </c>
      <c r="I238" s="82">
        <v>2.97</v>
      </c>
      <c r="J238" s="82">
        <v>2.29</v>
      </c>
      <c r="K238" s="82">
        <v>0.79</v>
      </c>
      <c r="L238" s="82">
        <v>9.77</v>
      </c>
      <c r="M238" s="82">
        <v>5.54</v>
      </c>
      <c r="N238" s="82">
        <v>5.94</v>
      </c>
      <c r="O238" s="82">
        <v>21.26</v>
      </c>
      <c r="P238" s="78">
        <f t="shared" si="3"/>
        <v>7.6923076923076916</v>
      </c>
    </row>
    <row r="239" spans="1:16" x14ac:dyDescent="0.25">
      <c r="A239" s="5" t="s">
        <v>292</v>
      </c>
      <c r="B239" s="78">
        <f>(6*38)/12</f>
        <v>19</v>
      </c>
      <c r="C239" s="5" t="s">
        <v>36</v>
      </c>
      <c r="D239" s="79">
        <v>42900</v>
      </c>
      <c r="E239" s="80">
        <v>150</v>
      </c>
      <c r="F239" s="80">
        <v>8</v>
      </c>
      <c r="G239" s="81">
        <v>0.10299999999999999</v>
      </c>
      <c r="H239" s="82">
        <v>2.92</v>
      </c>
      <c r="I239" s="82">
        <v>2.34</v>
      </c>
      <c r="J239" s="82">
        <v>1.66</v>
      </c>
      <c r="K239" s="82">
        <v>0.62</v>
      </c>
      <c r="L239" s="82">
        <v>7.56</v>
      </c>
      <c r="M239" s="82">
        <v>4.01</v>
      </c>
      <c r="N239" s="82">
        <v>4.6900000000000004</v>
      </c>
      <c r="O239" s="82">
        <v>16.27</v>
      </c>
      <c r="P239" s="78">
        <f t="shared" si="3"/>
        <v>9.7087378640776709</v>
      </c>
    </row>
    <row r="240" spans="1:16" x14ac:dyDescent="0.25">
      <c r="A240" s="5" t="s">
        <v>293</v>
      </c>
      <c r="B240" s="78">
        <f>(8*30)/12</f>
        <v>20</v>
      </c>
      <c r="C240" s="5" t="s">
        <v>37</v>
      </c>
      <c r="D240" s="79">
        <v>63300</v>
      </c>
      <c r="E240" s="80">
        <v>150</v>
      </c>
      <c r="F240" s="80">
        <v>8</v>
      </c>
      <c r="G240" s="81">
        <v>9.8000000000000004E-2</v>
      </c>
      <c r="H240" s="82">
        <v>2.78</v>
      </c>
      <c r="I240" s="82">
        <v>2.52</v>
      </c>
      <c r="J240" s="82">
        <v>2.33</v>
      </c>
      <c r="K240" s="82">
        <v>0.67</v>
      </c>
      <c r="L240" s="82">
        <v>8.31</v>
      </c>
      <c r="M240" s="82">
        <v>5.62</v>
      </c>
      <c r="N240" s="82">
        <v>5.18</v>
      </c>
      <c r="O240" s="82">
        <v>19.12</v>
      </c>
      <c r="P240" s="78">
        <f t="shared" si="3"/>
        <v>10.204081632653061</v>
      </c>
    </row>
    <row r="241" spans="1:16" x14ac:dyDescent="0.25">
      <c r="A241" s="5" t="s">
        <v>294</v>
      </c>
      <c r="B241" s="78">
        <f>(8*38)/12</f>
        <v>25.333333333333332</v>
      </c>
      <c r="C241" s="5" t="s">
        <v>37</v>
      </c>
      <c r="D241" s="79">
        <v>59700</v>
      </c>
      <c r="E241" s="80">
        <v>150</v>
      </c>
      <c r="F241" s="80">
        <v>8</v>
      </c>
      <c r="G241" s="81">
        <v>7.6999999999999999E-2</v>
      </c>
      <c r="H241" s="82">
        <v>2.2000000000000002</v>
      </c>
      <c r="I241" s="82">
        <v>1.99</v>
      </c>
      <c r="J241" s="82">
        <v>1.73</v>
      </c>
      <c r="K241" s="82">
        <v>0.53</v>
      </c>
      <c r="L241" s="82">
        <v>6.46</v>
      </c>
      <c r="M241" s="82">
        <v>4.1900000000000004</v>
      </c>
      <c r="N241" s="82">
        <v>4.0999999999999996</v>
      </c>
      <c r="O241" s="82">
        <v>14.76</v>
      </c>
      <c r="P241" s="78">
        <f t="shared" si="3"/>
        <v>12.987012987012987</v>
      </c>
    </row>
    <row r="242" spans="1:16" x14ac:dyDescent="0.25">
      <c r="A242" s="5" t="s">
        <v>295</v>
      </c>
      <c r="B242" s="78">
        <f>(11*15)/12</f>
        <v>13.75</v>
      </c>
      <c r="C242" s="5" t="s">
        <v>37</v>
      </c>
      <c r="D242" s="79">
        <v>65000</v>
      </c>
      <c r="E242" s="80">
        <v>150</v>
      </c>
      <c r="F242" s="80">
        <v>8</v>
      </c>
      <c r="G242" s="81">
        <v>0.13300000000000001</v>
      </c>
      <c r="H242" s="82">
        <v>3.78</v>
      </c>
      <c r="I242" s="82">
        <v>3.43</v>
      </c>
      <c r="J242" s="82">
        <v>3.25</v>
      </c>
      <c r="K242" s="82">
        <v>0.91</v>
      </c>
      <c r="L242" s="82">
        <v>11.39</v>
      </c>
      <c r="M242" s="82">
        <v>7.86</v>
      </c>
      <c r="N242" s="82">
        <v>7.05</v>
      </c>
      <c r="O242" s="82">
        <v>26.31</v>
      </c>
      <c r="P242" s="78">
        <f t="shared" si="3"/>
        <v>7.518796992481203</v>
      </c>
    </row>
    <row r="243" spans="1:16" x14ac:dyDescent="0.25">
      <c r="A243" s="5" t="s">
        <v>296</v>
      </c>
      <c r="B243" s="78">
        <f>(11*20)/12</f>
        <v>18.333333333333332</v>
      </c>
      <c r="C243" s="5" t="s">
        <v>37</v>
      </c>
      <c r="D243" s="79">
        <v>69700</v>
      </c>
      <c r="E243" s="80">
        <v>150</v>
      </c>
      <c r="F243" s="80">
        <v>8</v>
      </c>
      <c r="G243" s="81">
        <v>0.107</v>
      </c>
      <c r="H243" s="82">
        <v>3.04</v>
      </c>
      <c r="I243" s="82">
        <v>2.76</v>
      </c>
      <c r="J243" s="82">
        <v>2.8</v>
      </c>
      <c r="K243" s="82">
        <v>0.73</v>
      </c>
      <c r="L243" s="82">
        <v>9.34</v>
      </c>
      <c r="M243" s="82">
        <v>6.77</v>
      </c>
      <c r="N243" s="82">
        <v>5.66</v>
      </c>
      <c r="O243" s="82">
        <v>21.78</v>
      </c>
      <c r="P243" s="78">
        <f t="shared" si="3"/>
        <v>9.3457943925233646</v>
      </c>
    </row>
    <row r="244" spans="1:16" x14ac:dyDescent="0.25">
      <c r="A244" s="5" t="s">
        <v>297</v>
      </c>
      <c r="B244" s="78">
        <f>(12*20)/12</f>
        <v>20</v>
      </c>
      <c r="C244" s="5" t="s">
        <v>38</v>
      </c>
      <c r="D244" s="79">
        <v>74700</v>
      </c>
      <c r="E244" s="80">
        <v>150</v>
      </c>
      <c r="F244" s="80">
        <v>8</v>
      </c>
      <c r="G244" s="81">
        <v>9.8000000000000004E-2</v>
      </c>
      <c r="H244" s="82">
        <v>2.78</v>
      </c>
      <c r="I244" s="82">
        <v>2.82</v>
      </c>
      <c r="J244" s="82">
        <v>2.75</v>
      </c>
      <c r="K244" s="82">
        <v>0.86</v>
      </c>
      <c r="L244" s="82">
        <v>9.2200000000000006</v>
      </c>
      <c r="M244" s="82">
        <v>6.64</v>
      </c>
      <c r="N244" s="82">
        <v>6.66</v>
      </c>
      <c r="O244" s="82">
        <v>22.53</v>
      </c>
      <c r="P244" s="78">
        <f t="shared" si="3"/>
        <v>10.204081632653061</v>
      </c>
    </row>
    <row r="245" spans="1:16" x14ac:dyDescent="0.25">
      <c r="A245" s="5" t="s">
        <v>298</v>
      </c>
      <c r="B245" s="78">
        <f>(12*30)/12</f>
        <v>30</v>
      </c>
      <c r="C245" s="5" t="s">
        <v>38</v>
      </c>
      <c r="D245" s="79">
        <v>90000</v>
      </c>
      <c r="E245" s="80">
        <v>150</v>
      </c>
      <c r="F245" s="80">
        <v>8</v>
      </c>
      <c r="G245" s="81">
        <v>6.5000000000000002E-2</v>
      </c>
      <c r="H245" s="82">
        <v>1.85</v>
      </c>
      <c r="I245" s="82">
        <v>1.88</v>
      </c>
      <c r="J245" s="82">
        <v>2.2000000000000002</v>
      </c>
      <c r="K245" s="82">
        <v>0.56999999999999995</v>
      </c>
      <c r="L245" s="82">
        <v>6.52</v>
      </c>
      <c r="M245" s="82">
        <v>5.33</v>
      </c>
      <c r="N245" s="82">
        <v>4.4400000000000004</v>
      </c>
      <c r="O245" s="82">
        <v>16.3</v>
      </c>
      <c r="P245" s="78">
        <f t="shared" si="3"/>
        <v>15.384615384615383</v>
      </c>
    </row>
    <row r="246" spans="1:16" x14ac:dyDescent="0.25">
      <c r="A246" s="5" t="s">
        <v>299</v>
      </c>
      <c r="B246" s="78">
        <f>(15*15)/12</f>
        <v>18.75</v>
      </c>
      <c r="C246" s="5" t="s">
        <v>38</v>
      </c>
      <c r="D246" s="79">
        <v>88600</v>
      </c>
      <c r="E246" s="80">
        <v>150</v>
      </c>
      <c r="F246" s="80">
        <v>8</v>
      </c>
      <c r="G246" s="81">
        <v>0.105</v>
      </c>
      <c r="H246" s="82">
        <v>2.97</v>
      </c>
      <c r="I246" s="82">
        <v>3.02</v>
      </c>
      <c r="J246" s="82">
        <v>3.48</v>
      </c>
      <c r="K246" s="82">
        <v>0.92</v>
      </c>
      <c r="L246" s="82">
        <v>10.4</v>
      </c>
      <c r="M246" s="82">
        <v>8.42</v>
      </c>
      <c r="N246" s="82">
        <v>7.13</v>
      </c>
      <c r="O246" s="82">
        <v>25.96</v>
      </c>
      <c r="P246" s="78">
        <f t="shared" si="3"/>
        <v>9.5238095238095237</v>
      </c>
    </row>
    <row r="247" spans="1:16" x14ac:dyDescent="0.25">
      <c r="A247" s="5" t="s">
        <v>300</v>
      </c>
      <c r="B247" s="78">
        <f>(8*30)/12</f>
        <v>20</v>
      </c>
      <c r="C247" s="5" t="s">
        <v>39</v>
      </c>
      <c r="D247" s="79">
        <v>130000</v>
      </c>
      <c r="E247" s="80">
        <v>150</v>
      </c>
      <c r="F247" s="80">
        <v>8</v>
      </c>
      <c r="G247" s="81">
        <v>7.6999999999999999E-2</v>
      </c>
      <c r="H247" s="82">
        <v>2.2000000000000002</v>
      </c>
      <c r="I247" s="82">
        <v>2.64</v>
      </c>
      <c r="J247" s="82">
        <v>3.78</v>
      </c>
      <c r="K247" s="82">
        <v>0.74</v>
      </c>
      <c r="L247" s="82">
        <v>9.3699999999999992</v>
      </c>
      <c r="M247" s="82">
        <v>9.1300000000000008</v>
      </c>
      <c r="N247" s="82">
        <v>5.76</v>
      </c>
      <c r="O247" s="82">
        <v>24.27</v>
      </c>
      <c r="P247" s="78">
        <f t="shared" si="3"/>
        <v>12.987012987012987</v>
      </c>
    </row>
    <row r="248" spans="1:16" x14ac:dyDescent="0.25">
      <c r="A248" s="5" t="s">
        <v>301</v>
      </c>
      <c r="B248" s="78">
        <f>(12*30)/12</f>
        <v>30</v>
      </c>
      <c r="C248" s="5" t="s">
        <v>39</v>
      </c>
      <c r="D248" s="79">
        <v>163000</v>
      </c>
      <c r="E248" s="80">
        <v>150</v>
      </c>
      <c r="F248" s="80">
        <v>8</v>
      </c>
      <c r="G248" s="81">
        <v>5.0999999999999997E-2</v>
      </c>
      <c r="H248" s="82">
        <v>1.46</v>
      </c>
      <c r="I248" s="82">
        <v>1.75</v>
      </c>
      <c r="J248" s="82">
        <v>3.15</v>
      </c>
      <c r="K248" s="82">
        <v>0.49</v>
      </c>
      <c r="L248" s="82">
        <v>6.88</v>
      </c>
      <c r="M248" s="82">
        <v>7.62</v>
      </c>
      <c r="N248" s="82">
        <v>3.83</v>
      </c>
      <c r="O248" s="82">
        <v>18.34</v>
      </c>
      <c r="P248" s="78">
        <f t="shared" si="3"/>
        <v>19.607843137254903</v>
      </c>
    </row>
    <row r="249" spans="1:16" x14ac:dyDescent="0.25">
      <c r="A249" s="72" t="s">
        <v>302</v>
      </c>
      <c r="B249" s="73">
        <f>(6*38)/12</f>
        <v>19</v>
      </c>
      <c r="C249" s="72" t="s">
        <v>38</v>
      </c>
      <c r="D249" s="74">
        <v>15200</v>
      </c>
      <c r="E249" s="75">
        <v>300</v>
      </c>
      <c r="F249" s="75">
        <v>20</v>
      </c>
      <c r="G249" s="76">
        <v>0.1</v>
      </c>
      <c r="H249" s="77">
        <v>1.92</v>
      </c>
      <c r="I249" s="77">
        <v>2.87</v>
      </c>
      <c r="J249" s="77">
        <v>0.25</v>
      </c>
      <c r="K249" s="77">
        <v>0.87</v>
      </c>
      <c r="L249" s="77">
        <v>5.93</v>
      </c>
      <c r="M249" s="77">
        <v>0.51</v>
      </c>
      <c r="N249" s="77">
        <v>6.79</v>
      </c>
      <c r="O249" s="77">
        <v>13.24</v>
      </c>
      <c r="P249" s="73">
        <f t="shared" si="3"/>
        <v>10</v>
      </c>
    </row>
    <row r="250" spans="1:16" x14ac:dyDescent="0.25">
      <c r="A250" s="72" t="s">
        <v>303</v>
      </c>
      <c r="B250" s="73">
        <f>(6*38)/12</f>
        <v>19</v>
      </c>
      <c r="C250" s="72" t="s">
        <v>38</v>
      </c>
      <c r="D250" s="74">
        <v>25700</v>
      </c>
      <c r="E250" s="75">
        <v>300</v>
      </c>
      <c r="F250" s="75">
        <v>20</v>
      </c>
      <c r="G250" s="76">
        <v>0.1</v>
      </c>
      <c r="H250" s="77">
        <v>1.92</v>
      </c>
      <c r="I250" s="77">
        <v>2.87</v>
      </c>
      <c r="J250" s="77">
        <v>0.51</v>
      </c>
      <c r="K250" s="77">
        <v>0.87</v>
      </c>
      <c r="L250" s="77">
        <v>6.19</v>
      </c>
      <c r="M250" s="77">
        <v>0.81</v>
      </c>
      <c r="N250" s="77">
        <v>6.79</v>
      </c>
      <c r="O250" s="77">
        <v>13.8</v>
      </c>
      <c r="P250" s="73">
        <f t="shared" si="3"/>
        <v>10</v>
      </c>
    </row>
    <row r="251" spans="1:16" x14ac:dyDescent="0.25">
      <c r="A251" s="5" t="s">
        <v>304</v>
      </c>
      <c r="B251" s="78">
        <f>(4*30)/12</f>
        <v>10</v>
      </c>
      <c r="C251" s="5" t="s">
        <v>38</v>
      </c>
      <c r="D251" s="79">
        <v>41800</v>
      </c>
      <c r="E251" s="80">
        <v>300</v>
      </c>
      <c r="F251" s="80">
        <v>15</v>
      </c>
      <c r="G251" s="81">
        <v>0.23499999999999999</v>
      </c>
      <c r="H251" s="82">
        <v>4.54</v>
      </c>
      <c r="I251" s="82">
        <v>6.78</v>
      </c>
      <c r="J251" s="82">
        <v>2.4500000000000002</v>
      </c>
      <c r="K251" s="82">
        <v>2.0699999999999998</v>
      </c>
      <c r="L251" s="82">
        <v>15.85</v>
      </c>
      <c r="M251" s="82">
        <v>3.78</v>
      </c>
      <c r="N251" s="82">
        <v>16.010000000000002</v>
      </c>
      <c r="O251" s="82">
        <v>35.65</v>
      </c>
      <c r="P251" s="78">
        <f t="shared" si="3"/>
        <v>4.2553191489361701</v>
      </c>
    </row>
    <row r="252" spans="1:16" x14ac:dyDescent="0.25">
      <c r="A252" s="5" t="s">
        <v>305</v>
      </c>
      <c r="B252" s="78">
        <f>(4*38)/12</f>
        <v>12.666666666666666</v>
      </c>
      <c r="C252" s="5" t="s">
        <v>38</v>
      </c>
      <c r="D252" s="79">
        <v>41800</v>
      </c>
      <c r="E252" s="80">
        <v>300</v>
      </c>
      <c r="F252" s="80">
        <v>15</v>
      </c>
      <c r="G252" s="81">
        <v>0.186</v>
      </c>
      <c r="H252" s="82">
        <v>3.59</v>
      </c>
      <c r="I252" s="82">
        <v>5.35</v>
      </c>
      <c r="J252" s="82">
        <v>1.93</v>
      </c>
      <c r="K252" s="82">
        <v>1.63</v>
      </c>
      <c r="L252" s="82">
        <v>12.51</v>
      </c>
      <c r="M252" s="82">
        <v>2.98</v>
      </c>
      <c r="N252" s="82">
        <v>12.64</v>
      </c>
      <c r="O252" s="82">
        <v>28.15</v>
      </c>
      <c r="P252" s="78">
        <f t="shared" si="3"/>
        <v>5.376344086021505</v>
      </c>
    </row>
    <row r="253" spans="1:16" x14ac:dyDescent="0.25">
      <c r="A253" s="5" t="s">
        <v>306</v>
      </c>
      <c r="B253" s="78">
        <f>(6*38)/12</f>
        <v>19</v>
      </c>
      <c r="C253" s="5" t="s">
        <v>38</v>
      </c>
      <c r="D253" s="79">
        <v>66700</v>
      </c>
      <c r="E253" s="80">
        <v>300</v>
      </c>
      <c r="F253" s="80">
        <v>15</v>
      </c>
      <c r="G253" s="81">
        <v>0.124</v>
      </c>
      <c r="H253" s="82">
        <v>2.39</v>
      </c>
      <c r="I253" s="82">
        <v>3.56</v>
      </c>
      <c r="J253" s="82">
        <v>1.45</v>
      </c>
      <c r="K253" s="82">
        <v>1.08</v>
      </c>
      <c r="L253" s="82">
        <v>8.5</v>
      </c>
      <c r="M253" s="82">
        <v>3.17</v>
      </c>
      <c r="N253" s="82">
        <v>8.42</v>
      </c>
      <c r="O253" s="82">
        <v>20.100000000000001</v>
      </c>
      <c r="P253" s="78">
        <f t="shared" si="3"/>
        <v>8.064516129032258</v>
      </c>
    </row>
    <row r="254" spans="1:16" x14ac:dyDescent="0.25">
      <c r="A254" s="72" t="s">
        <v>307</v>
      </c>
      <c r="B254" s="73">
        <f>(6*38)/12</f>
        <v>19</v>
      </c>
      <c r="C254" s="72" t="s">
        <v>38</v>
      </c>
      <c r="D254" s="74">
        <v>70900</v>
      </c>
      <c r="E254" s="75">
        <v>300</v>
      </c>
      <c r="F254" s="75">
        <v>20</v>
      </c>
      <c r="G254" s="76">
        <v>0.31</v>
      </c>
      <c r="H254" s="77">
        <v>5.97</v>
      </c>
      <c r="I254" s="77">
        <v>8.91</v>
      </c>
      <c r="J254" s="77">
        <v>1.28</v>
      </c>
      <c r="K254" s="77">
        <v>2.72</v>
      </c>
      <c r="L254" s="77">
        <v>18.89</v>
      </c>
      <c r="M254" s="77">
        <v>7.28</v>
      </c>
      <c r="N254" s="77">
        <v>21.05</v>
      </c>
      <c r="O254" s="77">
        <v>47.23</v>
      </c>
      <c r="P254" s="73">
        <f t="shared" si="3"/>
        <v>3.2258064516129035</v>
      </c>
    </row>
    <row r="255" spans="1:16" x14ac:dyDescent="0.25">
      <c r="A255" s="5" t="s">
        <v>308</v>
      </c>
      <c r="B255" s="78">
        <f>(4*30)/12</f>
        <v>10</v>
      </c>
      <c r="C255" s="5" t="s">
        <v>39</v>
      </c>
      <c r="D255" s="79">
        <v>181000</v>
      </c>
      <c r="E255" s="80">
        <v>300</v>
      </c>
      <c r="F255" s="80">
        <v>20</v>
      </c>
      <c r="G255" s="81">
        <v>0.84899999999999998</v>
      </c>
      <c r="H255" s="82">
        <v>16.38</v>
      </c>
      <c r="I255" s="82">
        <v>28.94</v>
      </c>
      <c r="J255" s="82">
        <v>8.7100000000000009</v>
      </c>
      <c r="K255" s="82">
        <v>8.15</v>
      </c>
      <c r="L255" s="82">
        <v>62.2</v>
      </c>
      <c r="M255" s="82">
        <v>48.89</v>
      </c>
      <c r="N255" s="82">
        <v>63.06</v>
      </c>
      <c r="O255" s="82">
        <v>174.16</v>
      </c>
      <c r="P255" s="78">
        <f t="shared" si="3"/>
        <v>1.1778563015312131</v>
      </c>
    </row>
    <row r="256" spans="1:16" x14ac:dyDescent="0.25">
      <c r="A256" s="5" t="s">
        <v>309</v>
      </c>
      <c r="B256" s="78">
        <f>(4*38)/12</f>
        <v>12.666666666666666</v>
      </c>
      <c r="C256" s="5" t="s">
        <v>39</v>
      </c>
      <c r="D256" s="79">
        <v>181000</v>
      </c>
      <c r="E256" s="80">
        <v>300</v>
      </c>
      <c r="F256" s="80">
        <v>20</v>
      </c>
      <c r="G256" s="81">
        <v>0.93400000000000005</v>
      </c>
      <c r="H256" s="82">
        <v>18.010000000000002</v>
      </c>
      <c r="I256" s="82">
        <v>31.82</v>
      </c>
      <c r="J256" s="82">
        <v>9.58</v>
      </c>
      <c r="K256" s="82">
        <v>8.9600000000000009</v>
      </c>
      <c r="L256" s="82">
        <v>68.39</v>
      </c>
      <c r="M256" s="82">
        <v>54.92</v>
      </c>
      <c r="N256" s="82">
        <v>69.34</v>
      </c>
      <c r="O256" s="82">
        <v>192.65</v>
      </c>
      <c r="P256" s="78">
        <f t="shared" si="3"/>
        <v>1.070663811563169</v>
      </c>
    </row>
    <row r="257" spans="1:16" x14ac:dyDescent="0.25">
      <c r="A257" s="5" t="s">
        <v>310</v>
      </c>
      <c r="B257" s="78">
        <f>(6*38)/12</f>
        <v>19</v>
      </c>
      <c r="C257" s="5" t="s">
        <v>39</v>
      </c>
      <c r="D257" s="79">
        <v>197000</v>
      </c>
      <c r="E257" s="80">
        <v>300</v>
      </c>
      <c r="F257" s="80">
        <v>20</v>
      </c>
      <c r="G257" s="81">
        <v>0.625</v>
      </c>
      <c r="H257" s="82">
        <v>12.05</v>
      </c>
      <c r="I257" s="82">
        <v>21.28</v>
      </c>
      <c r="J257" s="82">
        <v>5.95</v>
      </c>
      <c r="K257" s="82">
        <v>5.99</v>
      </c>
      <c r="L257" s="82">
        <v>45.27</v>
      </c>
      <c r="M257" s="82">
        <v>39.97</v>
      </c>
      <c r="N257" s="82">
        <v>46.37</v>
      </c>
      <c r="O257" s="82">
        <v>131.62</v>
      </c>
      <c r="P257" s="78">
        <f t="shared" si="3"/>
        <v>1.6</v>
      </c>
    </row>
    <row r="258" spans="1:16" x14ac:dyDescent="0.25">
      <c r="A258" s="72" t="s">
        <v>311</v>
      </c>
      <c r="B258" s="73">
        <f>(6*38)/12</f>
        <v>19</v>
      </c>
      <c r="C258" s="72" t="s">
        <v>39</v>
      </c>
      <c r="D258" s="74">
        <v>10100</v>
      </c>
      <c r="E258" s="75">
        <v>300</v>
      </c>
      <c r="F258" s="75">
        <v>20</v>
      </c>
      <c r="G258" s="76">
        <v>0.1</v>
      </c>
      <c r="H258" s="77">
        <v>1.92</v>
      </c>
      <c r="I258" s="77">
        <v>3.4</v>
      </c>
      <c r="J258" s="77">
        <v>0.2</v>
      </c>
      <c r="K258" s="77">
        <v>0.95</v>
      </c>
      <c r="L258" s="77">
        <v>6.5</v>
      </c>
      <c r="M258" s="77">
        <v>0.32</v>
      </c>
      <c r="N258" s="77">
        <v>7.41</v>
      </c>
      <c r="O258" s="77">
        <v>14.24</v>
      </c>
      <c r="P258" s="73">
        <f t="shared" si="3"/>
        <v>10</v>
      </c>
    </row>
    <row r="259" spans="1:16" x14ac:dyDescent="0.25">
      <c r="A259" s="5" t="s">
        <v>312</v>
      </c>
      <c r="B259" s="78">
        <f>(12*38)/12</f>
        <v>38</v>
      </c>
      <c r="C259" s="5" t="s">
        <v>38</v>
      </c>
      <c r="D259" s="79">
        <v>147000</v>
      </c>
      <c r="E259" s="80">
        <v>150</v>
      </c>
      <c r="F259" s="80">
        <v>8</v>
      </c>
      <c r="G259" s="81">
        <v>0.08</v>
      </c>
      <c r="H259" s="82">
        <v>2.27</v>
      </c>
      <c r="I259" s="82">
        <v>2.31</v>
      </c>
      <c r="J259" s="82">
        <v>4.43</v>
      </c>
      <c r="K259" s="82">
        <v>0.7</v>
      </c>
      <c r="L259" s="82">
        <v>9.7200000000000006</v>
      </c>
      <c r="M259" s="82">
        <v>10.69</v>
      </c>
      <c r="N259" s="82">
        <v>5.46</v>
      </c>
      <c r="O259" s="82">
        <v>25.89</v>
      </c>
      <c r="P259" s="78">
        <f t="shared" si="3"/>
        <v>12.5</v>
      </c>
    </row>
    <row r="260" spans="1:16" x14ac:dyDescent="0.25">
      <c r="A260" s="5" t="s">
        <v>313</v>
      </c>
      <c r="B260" s="78">
        <f>(8*30)/12</f>
        <v>20</v>
      </c>
      <c r="C260" s="5" t="s">
        <v>38</v>
      </c>
      <c r="D260" s="79">
        <v>61200</v>
      </c>
      <c r="E260" s="80">
        <v>150</v>
      </c>
      <c r="F260" s="80">
        <v>8</v>
      </c>
      <c r="G260" s="81">
        <v>0.152</v>
      </c>
      <c r="H260" s="82">
        <v>4.32</v>
      </c>
      <c r="I260" s="82">
        <v>4.3899999999999997</v>
      </c>
      <c r="J260" s="82">
        <v>3.5</v>
      </c>
      <c r="K260" s="82">
        <v>1.34</v>
      </c>
      <c r="L260" s="82">
        <v>13.57</v>
      </c>
      <c r="M260" s="82">
        <v>8.4600000000000009</v>
      </c>
      <c r="N260" s="82">
        <v>10.37</v>
      </c>
      <c r="O260" s="82">
        <v>32.409999999999997</v>
      </c>
      <c r="P260" s="78">
        <f t="shared" si="3"/>
        <v>6.5789473684210531</v>
      </c>
    </row>
    <row r="261" spans="1:16" x14ac:dyDescent="0.25">
      <c r="A261" s="5" t="s">
        <v>314</v>
      </c>
      <c r="B261" s="78">
        <f>(8*38)/12</f>
        <v>25.333333333333332</v>
      </c>
      <c r="C261" s="5" t="s">
        <v>38</v>
      </c>
      <c r="D261" s="79">
        <v>57700</v>
      </c>
      <c r="E261" s="80">
        <v>150</v>
      </c>
      <c r="F261" s="80">
        <v>8</v>
      </c>
      <c r="G261" s="81">
        <v>0.12</v>
      </c>
      <c r="H261" s="82">
        <v>3.42</v>
      </c>
      <c r="I261" s="82">
        <v>3.47</v>
      </c>
      <c r="J261" s="82">
        <v>2.61</v>
      </c>
      <c r="K261" s="82">
        <v>1.06</v>
      </c>
      <c r="L261" s="82">
        <v>10.56</v>
      </c>
      <c r="M261" s="82">
        <v>6.3</v>
      </c>
      <c r="N261" s="82">
        <v>8.1999999999999993</v>
      </c>
      <c r="O261" s="82">
        <v>25.07</v>
      </c>
      <c r="P261" s="78">
        <f t="shared" si="3"/>
        <v>8.3333333333333339</v>
      </c>
    </row>
    <row r="262" spans="1:16" x14ac:dyDescent="0.25">
      <c r="A262" s="5" t="s">
        <v>315</v>
      </c>
      <c r="B262" s="78">
        <f>(8*30)/12</f>
        <v>20</v>
      </c>
      <c r="C262" s="5" t="s">
        <v>38</v>
      </c>
      <c r="D262" s="79">
        <v>127000</v>
      </c>
      <c r="E262" s="80">
        <v>150</v>
      </c>
      <c r="F262" s="80">
        <v>8</v>
      </c>
      <c r="G262" s="81">
        <v>0.12</v>
      </c>
      <c r="H262" s="82">
        <v>3.42</v>
      </c>
      <c r="I262" s="82">
        <v>3.47</v>
      </c>
      <c r="J262" s="82">
        <v>5.75</v>
      </c>
      <c r="K262" s="82">
        <v>1.06</v>
      </c>
      <c r="L262" s="82">
        <v>13.7</v>
      </c>
      <c r="M262" s="82">
        <v>13.88</v>
      </c>
      <c r="N262" s="82">
        <v>8.1999999999999993</v>
      </c>
      <c r="O262" s="82">
        <v>35.79</v>
      </c>
      <c r="P262" s="78">
        <f t="shared" si="3"/>
        <v>8.3333333333333339</v>
      </c>
    </row>
    <row r="263" spans="1:16" x14ac:dyDescent="0.25">
      <c r="A263" s="72" t="s">
        <v>316</v>
      </c>
      <c r="B263" s="83" t="s">
        <v>0</v>
      </c>
      <c r="C263" s="72" t="s">
        <v>33</v>
      </c>
      <c r="D263" s="74">
        <v>6480</v>
      </c>
      <c r="E263" s="75">
        <v>15</v>
      </c>
      <c r="F263" s="75">
        <v>12</v>
      </c>
      <c r="G263" s="76">
        <v>3.0000000000000001E-3</v>
      </c>
      <c r="H263" s="77">
        <v>0.11</v>
      </c>
      <c r="I263" s="77">
        <v>0.06</v>
      </c>
      <c r="J263" s="77">
        <v>0.01</v>
      </c>
      <c r="K263" s="77">
        <v>0.01</v>
      </c>
      <c r="L263" s="77">
        <v>0.2</v>
      </c>
      <c r="M263" s="77">
        <v>0.16</v>
      </c>
      <c r="N263" s="77">
        <v>0.1</v>
      </c>
      <c r="O263" s="77">
        <v>0.47</v>
      </c>
      <c r="P263" s="73">
        <f t="shared" si="3"/>
        <v>333.33333333333331</v>
      </c>
    </row>
    <row r="264" spans="1:16" x14ac:dyDescent="0.25">
      <c r="A264" s="5" t="s">
        <v>317</v>
      </c>
      <c r="B264" s="78">
        <v>30</v>
      </c>
      <c r="C264" s="5" t="s">
        <v>33</v>
      </c>
      <c r="D264" s="79">
        <v>2200</v>
      </c>
      <c r="E264" s="80">
        <v>100</v>
      </c>
      <c r="F264" s="80">
        <v>15</v>
      </c>
      <c r="G264" s="81">
        <v>3.0000000000000001E-3</v>
      </c>
      <c r="H264" s="82">
        <v>0.2</v>
      </c>
      <c r="I264" s="82">
        <v>7.0000000000000007E-2</v>
      </c>
      <c r="J264" s="82">
        <v>0</v>
      </c>
      <c r="K264" s="82">
        <v>0.01</v>
      </c>
      <c r="L264" s="82">
        <v>0.3</v>
      </c>
      <c r="M264" s="82">
        <v>0</v>
      </c>
      <c r="N264" s="82">
        <v>0.12</v>
      </c>
      <c r="O264" s="82">
        <v>0.43</v>
      </c>
      <c r="P264" s="78">
        <f t="shared" si="3"/>
        <v>333.33333333333331</v>
      </c>
    </row>
    <row r="265" spans="1:16" x14ac:dyDescent="0.25">
      <c r="A265" s="72" t="s">
        <v>318</v>
      </c>
      <c r="B265" s="73">
        <f>(8*38)/12</f>
        <v>25.333333333333332</v>
      </c>
      <c r="C265" s="72" t="s">
        <v>37</v>
      </c>
      <c r="D265" s="74">
        <v>80200</v>
      </c>
      <c r="E265" s="75">
        <v>150</v>
      </c>
      <c r="F265" s="75">
        <v>8</v>
      </c>
      <c r="G265" s="76">
        <v>0.08</v>
      </c>
      <c r="H265" s="77">
        <v>2.27</v>
      </c>
      <c r="I265" s="77">
        <v>2.06</v>
      </c>
      <c r="J265" s="77">
        <v>2.41</v>
      </c>
      <c r="K265" s="77">
        <v>0.54</v>
      </c>
      <c r="L265" s="77">
        <v>7.3</v>
      </c>
      <c r="M265" s="77">
        <v>5.82</v>
      </c>
      <c r="N265" s="77">
        <v>4.2300000000000004</v>
      </c>
      <c r="O265" s="77">
        <v>17.36</v>
      </c>
      <c r="P265" s="73">
        <f t="shared" si="3"/>
        <v>12.5</v>
      </c>
    </row>
    <row r="266" spans="1:16" x14ac:dyDescent="0.25">
      <c r="A266" s="72" t="s">
        <v>319</v>
      </c>
      <c r="B266" s="73">
        <f>(8*38)/12</f>
        <v>25.333333333333332</v>
      </c>
      <c r="C266" s="72" t="s">
        <v>37</v>
      </c>
      <c r="D266" s="74">
        <v>147000</v>
      </c>
      <c r="E266" s="75">
        <v>150</v>
      </c>
      <c r="F266" s="75">
        <v>8</v>
      </c>
      <c r="G266" s="76">
        <v>5.2999999999999999E-2</v>
      </c>
      <c r="H266" s="77">
        <v>1.51</v>
      </c>
      <c r="I266" s="77">
        <v>1.37</v>
      </c>
      <c r="J266" s="77">
        <v>2.94</v>
      </c>
      <c r="K266" s="77">
        <v>0.36</v>
      </c>
      <c r="L266" s="77">
        <v>6.2</v>
      </c>
      <c r="M266" s="77">
        <v>7.11</v>
      </c>
      <c r="N266" s="77">
        <v>2.82</v>
      </c>
      <c r="O266" s="77">
        <v>16.13</v>
      </c>
      <c r="P266" s="73">
        <f t="shared" ref="P266:P329" si="4">1/G266</f>
        <v>18.867924528301888</v>
      </c>
    </row>
    <row r="267" spans="1:16" x14ac:dyDescent="0.25">
      <c r="A267" s="72" t="s">
        <v>320</v>
      </c>
      <c r="B267" s="73">
        <f>(12*20)/12</f>
        <v>20</v>
      </c>
      <c r="C267" s="72" t="s">
        <v>38</v>
      </c>
      <c r="D267" s="74">
        <v>70600</v>
      </c>
      <c r="E267" s="75">
        <v>150</v>
      </c>
      <c r="F267" s="75">
        <v>8</v>
      </c>
      <c r="G267" s="76">
        <v>0.10100000000000001</v>
      </c>
      <c r="H267" s="77">
        <v>2.87</v>
      </c>
      <c r="I267" s="77">
        <v>2.91</v>
      </c>
      <c r="J267" s="77">
        <v>2.68</v>
      </c>
      <c r="K267" s="77">
        <v>0.89</v>
      </c>
      <c r="L267" s="77">
        <v>9.3699999999999992</v>
      </c>
      <c r="M267" s="77">
        <v>6.48</v>
      </c>
      <c r="N267" s="77">
        <v>6.89</v>
      </c>
      <c r="O267" s="77">
        <v>22.76</v>
      </c>
      <c r="P267" s="73">
        <f t="shared" si="4"/>
        <v>9.9009900990099009</v>
      </c>
    </row>
    <row r="268" spans="1:16" x14ac:dyDescent="0.25">
      <c r="A268" s="72" t="s">
        <v>321</v>
      </c>
      <c r="B268" s="73">
        <f>(12*30)/12</f>
        <v>30</v>
      </c>
      <c r="C268" s="72" t="s">
        <v>38</v>
      </c>
      <c r="D268" s="74">
        <v>123600</v>
      </c>
      <c r="E268" s="75">
        <v>150</v>
      </c>
      <c r="F268" s="75">
        <v>8</v>
      </c>
      <c r="G268" s="76">
        <v>6.7000000000000004E-2</v>
      </c>
      <c r="H268" s="77">
        <v>1.91</v>
      </c>
      <c r="I268" s="77">
        <v>1.94</v>
      </c>
      <c r="J268" s="77">
        <v>3.13</v>
      </c>
      <c r="K268" s="77">
        <v>0.59</v>
      </c>
      <c r="L268" s="77">
        <v>7.59</v>
      </c>
      <c r="M268" s="77">
        <v>7.57</v>
      </c>
      <c r="N268" s="77">
        <v>4.59</v>
      </c>
      <c r="O268" s="77">
        <v>19.760000000000002</v>
      </c>
      <c r="P268" s="73">
        <f t="shared" si="4"/>
        <v>14.925373134328357</v>
      </c>
    </row>
    <row r="269" spans="1:16" x14ac:dyDescent="0.25">
      <c r="A269" s="72" t="s">
        <v>322</v>
      </c>
      <c r="B269" s="73">
        <f>(12*38)/12</f>
        <v>38</v>
      </c>
      <c r="C269" s="72" t="s">
        <v>38</v>
      </c>
      <c r="D269" s="74">
        <v>147000</v>
      </c>
      <c r="E269" s="75">
        <v>150</v>
      </c>
      <c r="F269" s="75">
        <v>8</v>
      </c>
      <c r="G269" s="76">
        <v>5.2999999999999999E-2</v>
      </c>
      <c r="H269" s="77">
        <v>1.51</v>
      </c>
      <c r="I269" s="77">
        <v>1.53</v>
      </c>
      <c r="J269" s="77">
        <v>2.94</v>
      </c>
      <c r="K269" s="77">
        <v>0.46</v>
      </c>
      <c r="L269" s="77">
        <v>6.46</v>
      </c>
      <c r="M269" s="77">
        <v>7.11</v>
      </c>
      <c r="N269" s="77">
        <v>3.62</v>
      </c>
      <c r="O269" s="77">
        <v>17.2</v>
      </c>
      <c r="P269" s="73">
        <f t="shared" si="4"/>
        <v>18.867924528301888</v>
      </c>
    </row>
    <row r="270" spans="1:16" x14ac:dyDescent="0.25">
      <c r="A270" s="72" t="s">
        <v>323</v>
      </c>
      <c r="B270" s="73">
        <f>(16*30)/12</f>
        <v>40</v>
      </c>
      <c r="C270" s="72" t="s">
        <v>38</v>
      </c>
      <c r="D270" s="74">
        <v>200000</v>
      </c>
      <c r="E270" s="75">
        <v>150</v>
      </c>
      <c r="F270" s="75">
        <v>8</v>
      </c>
      <c r="G270" s="76">
        <v>0.05</v>
      </c>
      <c r="H270" s="77">
        <v>1.43</v>
      </c>
      <c r="I270" s="77">
        <v>1.45</v>
      </c>
      <c r="J270" s="77">
        <v>3.8</v>
      </c>
      <c r="K270" s="77">
        <v>0.44</v>
      </c>
      <c r="L270" s="77">
        <v>7.15</v>
      </c>
      <c r="M270" s="77">
        <v>9.19</v>
      </c>
      <c r="N270" s="77">
        <v>3.44</v>
      </c>
      <c r="O270" s="77">
        <v>19.79</v>
      </c>
      <c r="P270" s="73">
        <f t="shared" si="4"/>
        <v>20</v>
      </c>
    </row>
    <row r="271" spans="1:16" x14ac:dyDescent="0.25">
      <c r="A271" s="72" t="s">
        <v>324</v>
      </c>
      <c r="B271" s="73">
        <f>(23*15)/12</f>
        <v>28.75</v>
      </c>
      <c r="C271" s="72" t="s">
        <v>38</v>
      </c>
      <c r="D271" s="74">
        <v>194000</v>
      </c>
      <c r="E271" s="75">
        <v>150</v>
      </c>
      <c r="F271" s="75">
        <v>8</v>
      </c>
      <c r="G271" s="76">
        <v>7.0000000000000007E-2</v>
      </c>
      <c r="H271" s="77">
        <v>1.99</v>
      </c>
      <c r="I271" s="77">
        <v>2.02</v>
      </c>
      <c r="J271" s="77">
        <v>5.12</v>
      </c>
      <c r="K271" s="77">
        <v>0.61</v>
      </c>
      <c r="L271" s="77">
        <v>9.77</v>
      </c>
      <c r="M271" s="77">
        <v>12.38</v>
      </c>
      <c r="N271" s="77">
        <v>4.78</v>
      </c>
      <c r="O271" s="77">
        <v>26.94</v>
      </c>
      <c r="P271" s="73">
        <f t="shared" si="4"/>
        <v>14.285714285714285</v>
      </c>
    </row>
    <row r="272" spans="1:16" x14ac:dyDescent="0.25">
      <c r="A272" s="72" t="s">
        <v>325</v>
      </c>
      <c r="B272" s="73">
        <f>(24*20)/12</f>
        <v>40</v>
      </c>
      <c r="C272" s="72" t="s">
        <v>38</v>
      </c>
      <c r="D272" s="74">
        <v>244000</v>
      </c>
      <c r="E272" s="75">
        <v>150</v>
      </c>
      <c r="F272" s="75">
        <v>8</v>
      </c>
      <c r="G272" s="76">
        <v>0.05</v>
      </c>
      <c r="H272" s="77">
        <v>1.43</v>
      </c>
      <c r="I272" s="77">
        <v>1.45</v>
      </c>
      <c r="J272" s="77">
        <v>4.6399999999999997</v>
      </c>
      <c r="K272" s="77">
        <v>0.44</v>
      </c>
      <c r="L272" s="77">
        <v>7.98</v>
      </c>
      <c r="M272" s="77">
        <v>11.21</v>
      </c>
      <c r="N272" s="77">
        <v>3.44</v>
      </c>
      <c r="O272" s="77">
        <v>22.65</v>
      </c>
      <c r="P272" s="73">
        <f t="shared" si="4"/>
        <v>20</v>
      </c>
    </row>
    <row r="273" spans="1:16" x14ac:dyDescent="0.25">
      <c r="A273" s="72" t="s">
        <v>326</v>
      </c>
      <c r="B273" s="73">
        <f>(24*30)/12</f>
        <v>60</v>
      </c>
      <c r="C273" s="72" t="s">
        <v>38</v>
      </c>
      <c r="D273" s="74">
        <v>202000</v>
      </c>
      <c r="E273" s="75">
        <v>150</v>
      </c>
      <c r="F273" s="75">
        <v>8</v>
      </c>
      <c r="G273" s="76">
        <v>3.3000000000000002E-2</v>
      </c>
      <c r="H273" s="77">
        <v>0.95</v>
      </c>
      <c r="I273" s="77">
        <v>0.97</v>
      </c>
      <c r="J273" s="77">
        <v>2.56</v>
      </c>
      <c r="K273" s="77">
        <v>0.28999999999999998</v>
      </c>
      <c r="L273" s="77">
        <v>4.79</v>
      </c>
      <c r="M273" s="77">
        <v>6.18</v>
      </c>
      <c r="N273" s="77">
        <v>2.29</v>
      </c>
      <c r="O273" s="77">
        <v>13.28</v>
      </c>
      <c r="P273" s="73">
        <f t="shared" si="4"/>
        <v>30.303030303030301</v>
      </c>
    </row>
    <row r="274" spans="1:16" x14ac:dyDescent="0.25">
      <c r="A274" s="72" t="s">
        <v>327</v>
      </c>
      <c r="B274" s="73">
        <f>(31*15)/12</f>
        <v>38.75</v>
      </c>
      <c r="C274" s="72" t="s">
        <v>39</v>
      </c>
      <c r="D274" s="74">
        <v>235000</v>
      </c>
      <c r="E274" s="75">
        <v>150</v>
      </c>
      <c r="F274" s="75">
        <v>8</v>
      </c>
      <c r="G274" s="76">
        <v>5.1999999999999998E-2</v>
      </c>
      <c r="H274" s="77">
        <v>1.48</v>
      </c>
      <c r="I274" s="77">
        <v>1.78</v>
      </c>
      <c r="J274" s="77">
        <v>4.62</v>
      </c>
      <c r="K274" s="77">
        <v>0.5</v>
      </c>
      <c r="L274" s="77">
        <v>8.4</v>
      </c>
      <c r="M274" s="77">
        <v>11.16</v>
      </c>
      <c r="N274" s="77">
        <v>3.89</v>
      </c>
      <c r="O274" s="77">
        <v>23.45</v>
      </c>
      <c r="P274" s="73">
        <f t="shared" si="4"/>
        <v>19.23076923076923</v>
      </c>
    </row>
    <row r="275" spans="1:16" x14ac:dyDescent="0.25">
      <c r="A275" s="72" t="s">
        <v>328</v>
      </c>
      <c r="B275" s="73">
        <f>(32*15)/12</f>
        <v>40</v>
      </c>
      <c r="C275" s="72" t="s">
        <v>39</v>
      </c>
      <c r="D275" s="74">
        <v>239000</v>
      </c>
      <c r="E275" s="75">
        <v>150</v>
      </c>
      <c r="F275" s="75">
        <v>8</v>
      </c>
      <c r="G275" s="76">
        <v>0.05</v>
      </c>
      <c r="H275" s="77">
        <v>1.43</v>
      </c>
      <c r="I275" s="77">
        <v>1.72</v>
      </c>
      <c r="J275" s="77">
        <v>4.55</v>
      </c>
      <c r="K275" s="77">
        <v>0.48</v>
      </c>
      <c r="L275" s="77">
        <v>8.1999999999999993</v>
      </c>
      <c r="M275" s="77">
        <v>10.98</v>
      </c>
      <c r="N275" s="77">
        <v>3.76</v>
      </c>
      <c r="O275" s="77">
        <v>22.95</v>
      </c>
      <c r="P275" s="73">
        <f t="shared" si="4"/>
        <v>20</v>
      </c>
    </row>
    <row r="276" spans="1:16" x14ac:dyDescent="0.25">
      <c r="A276" s="72" t="s">
        <v>329</v>
      </c>
      <c r="B276" s="73">
        <f>(4*30)/12</f>
        <v>10</v>
      </c>
      <c r="C276" s="72" t="s">
        <v>33</v>
      </c>
      <c r="D276" s="74">
        <v>39500</v>
      </c>
      <c r="E276" s="75">
        <v>150</v>
      </c>
      <c r="F276" s="75">
        <v>8</v>
      </c>
      <c r="G276" s="76">
        <v>0.20300000000000001</v>
      </c>
      <c r="H276" s="77">
        <v>5.75</v>
      </c>
      <c r="I276" s="77">
        <v>3.99</v>
      </c>
      <c r="J276" s="77">
        <v>3</v>
      </c>
      <c r="K276" s="77">
        <v>0.91</v>
      </c>
      <c r="L276" s="77">
        <v>13.67</v>
      </c>
      <c r="M276" s="77">
        <v>7.26</v>
      </c>
      <c r="N276" s="77">
        <v>6.85</v>
      </c>
      <c r="O276" s="77">
        <v>27.79</v>
      </c>
      <c r="P276" s="73">
        <f t="shared" si="4"/>
        <v>4.9261083743842358</v>
      </c>
    </row>
    <row r="277" spans="1:16" x14ac:dyDescent="0.25">
      <c r="A277" s="72" t="s">
        <v>330</v>
      </c>
      <c r="B277" s="73">
        <f>(4*38)/12</f>
        <v>12.666666666666666</v>
      </c>
      <c r="C277" s="72" t="s">
        <v>33</v>
      </c>
      <c r="D277" s="74">
        <v>34300</v>
      </c>
      <c r="E277" s="75">
        <v>150</v>
      </c>
      <c r="F277" s="75">
        <v>8</v>
      </c>
      <c r="G277" s="76">
        <v>0.159</v>
      </c>
      <c r="H277" s="77">
        <v>4.53</v>
      </c>
      <c r="I277" s="77">
        <v>3.14</v>
      </c>
      <c r="J277" s="77">
        <v>2.0499999999999998</v>
      </c>
      <c r="K277" s="77">
        <v>0.72</v>
      </c>
      <c r="L277" s="77">
        <v>10.45</v>
      </c>
      <c r="M277" s="77">
        <v>4.96</v>
      </c>
      <c r="N277" s="77">
        <v>5.39</v>
      </c>
      <c r="O277" s="77">
        <v>20.81</v>
      </c>
      <c r="P277" s="73">
        <f t="shared" si="4"/>
        <v>6.2893081761006284</v>
      </c>
    </row>
    <row r="278" spans="1:16" x14ac:dyDescent="0.25">
      <c r="A278" s="72" t="s">
        <v>331</v>
      </c>
      <c r="B278" s="73">
        <f>(6*30)/12</f>
        <v>15</v>
      </c>
      <c r="C278" s="72" t="s">
        <v>36</v>
      </c>
      <c r="D278" s="74">
        <v>46800</v>
      </c>
      <c r="E278" s="75">
        <v>150</v>
      </c>
      <c r="F278" s="75">
        <v>8</v>
      </c>
      <c r="G278" s="76">
        <v>0.13500000000000001</v>
      </c>
      <c r="H278" s="77">
        <v>3.83</v>
      </c>
      <c r="I278" s="77">
        <v>3.07</v>
      </c>
      <c r="J278" s="77">
        <v>2.37</v>
      </c>
      <c r="K278" s="77">
        <v>0.82</v>
      </c>
      <c r="L278" s="77">
        <v>10.1</v>
      </c>
      <c r="M278" s="77">
        <v>5.73</v>
      </c>
      <c r="N278" s="77">
        <v>6.14</v>
      </c>
      <c r="O278" s="77">
        <v>21.98</v>
      </c>
      <c r="P278" s="73">
        <f t="shared" si="4"/>
        <v>7.4074074074074066</v>
      </c>
    </row>
    <row r="279" spans="1:16" x14ac:dyDescent="0.25">
      <c r="A279" s="72" t="s">
        <v>332</v>
      </c>
      <c r="B279" s="73">
        <f>(6*38)/12</f>
        <v>19</v>
      </c>
      <c r="C279" s="72" t="s">
        <v>36</v>
      </c>
      <c r="D279" s="74">
        <v>42800</v>
      </c>
      <c r="E279" s="75">
        <v>150</v>
      </c>
      <c r="F279" s="75">
        <v>8</v>
      </c>
      <c r="G279" s="76">
        <v>0.106</v>
      </c>
      <c r="H279" s="77">
        <v>3.02</v>
      </c>
      <c r="I279" s="77">
        <v>2.42</v>
      </c>
      <c r="J279" s="77">
        <v>1.71</v>
      </c>
      <c r="K279" s="77">
        <v>0.64</v>
      </c>
      <c r="L279" s="77">
        <v>7.81</v>
      </c>
      <c r="M279" s="77">
        <v>4.1399999999999997</v>
      </c>
      <c r="N279" s="77">
        <v>4.84</v>
      </c>
      <c r="O279" s="77">
        <v>16.8</v>
      </c>
      <c r="P279" s="73">
        <f t="shared" si="4"/>
        <v>9.433962264150944</v>
      </c>
    </row>
    <row r="280" spans="1:16" x14ac:dyDescent="0.25">
      <c r="A280" s="72" t="s">
        <v>333</v>
      </c>
      <c r="B280" s="73">
        <f>(8*30)/12</f>
        <v>20</v>
      </c>
      <c r="C280" s="72" t="s">
        <v>37</v>
      </c>
      <c r="D280" s="74">
        <v>61200</v>
      </c>
      <c r="E280" s="75">
        <v>150</v>
      </c>
      <c r="F280" s="75">
        <v>8</v>
      </c>
      <c r="G280" s="76">
        <v>0.10100000000000001</v>
      </c>
      <c r="H280" s="77">
        <v>2.87</v>
      </c>
      <c r="I280" s="77">
        <v>2.61</v>
      </c>
      <c r="J280" s="77">
        <v>2.33</v>
      </c>
      <c r="K280" s="77">
        <v>0.69</v>
      </c>
      <c r="L280" s="77">
        <v>8.51</v>
      </c>
      <c r="M280" s="77">
        <v>5.62</v>
      </c>
      <c r="N280" s="77">
        <v>5.36</v>
      </c>
      <c r="O280" s="77">
        <v>19.5</v>
      </c>
      <c r="P280" s="73">
        <f t="shared" si="4"/>
        <v>9.9009900990099009</v>
      </c>
    </row>
    <row r="281" spans="1:16" x14ac:dyDescent="0.25">
      <c r="A281" s="72" t="s">
        <v>334</v>
      </c>
      <c r="B281" s="73">
        <f>(8*38)/12</f>
        <v>25.333333333333332</v>
      </c>
      <c r="C281" s="72" t="s">
        <v>37</v>
      </c>
      <c r="D281" s="74">
        <v>57700</v>
      </c>
      <c r="E281" s="75">
        <v>150</v>
      </c>
      <c r="F281" s="75">
        <v>8</v>
      </c>
      <c r="G281" s="76">
        <v>0.08</v>
      </c>
      <c r="H281" s="77">
        <v>2.27</v>
      </c>
      <c r="I281" s="77">
        <v>2.06</v>
      </c>
      <c r="J281" s="77">
        <v>1.73</v>
      </c>
      <c r="K281" s="77">
        <v>0.54</v>
      </c>
      <c r="L281" s="77">
        <v>6.62</v>
      </c>
      <c r="M281" s="77">
        <v>4.1900000000000004</v>
      </c>
      <c r="N281" s="77">
        <v>4.2300000000000004</v>
      </c>
      <c r="O281" s="77">
        <v>15.05</v>
      </c>
      <c r="P281" s="73">
        <f t="shared" si="4"/>
        <v>12.5</v>
      </c>
    </row>
    <row r="282" spans="1:16" x14ac:dyDescent="0.25">
      <c r="A282" s="72" t="s">
        <v>335</v>
      </c>
      <c r="B282" s="73">
        <f>(11*15)/12</f>
        <v>13.75</v>
      </c>
      <c r="C282" s="72" t="s">
        <v>37</v>
      </c>
      <c r="D282" s="74">
        <v>59900</v>
      </c>
      <c r="E282" s="75">
        <v>150</v>
      </c>
      <c r="F282" s="75">
        <v>8</v>
      </c>
      <c r="G282" s="76">
        <v>0.14799999999999999</v>
      </c>
      <c r="H282" s="77">
        <v>4.2</v>
      </c>
      <c r="I282" s="77">
        <v>3.81</v>
      </c>
      <c r="J282" s="77">
        <v>3.32</v>
      </c>
      <c r="K282" s="77">
        <v>1.01</v>
      </c>
      <c r="L282" s="77">
        <v>12.35</v>
      </c>
      <c r="M282" s="77">
        <v>8.0299999999999994</v>
      </c>
      <c r="N282" s="77">
        <v>7.82</v>
      </c>
      <c r="O282" s="77">
        <v>28.22</v>
      </c>
      <c r="P282" s="73">
        <f t="shared" si="4"/>
        <v>6.756756756756757</v>
      </c>
    </row>
    <row r="283" spans="1:16" x14ac:dyDescent="0.25">
      <c r="A283" s="72" t="s">
        <v>336</v>
      </c>
      <c r="B283" s="73">
        <f>(11*20)/12</f>
        <v>18.333333333333332</v>
      </c>
      <c r="C283" s="72" t="s">
        <v>37</v>
      </c>
      <c r="D283" s="74">
        <v>64600</v>
      </c>
      <c r="E283" s="75">
        <v>150</v>
      </c>
      <c r="F283" s="75">
        <v>8</v>
      </c>
      <c r="G283" s="76">
        <v>0.11</v>
      </c>
      <c r="H283" s="77">
        <v>3.14</v>
      </c>
      <c r="I283" s="77">
        <v>2.85</v>
      </c>
      <c r="J283" s="77">
        <v>2.68</v>
      </c>
      <c r="K283" s="77">
        <v>0.75</v>
      </c>
      <c r="L283" s="77">
        <v>9.44</v>
      </c>
      <c r="M283" s="77">
        <v>6.48</v>
      </c>
      <c r="N283" s="77">
        <v>5.86</v>
      </c>
      <c r="O283" s="77">
        <v>21.79</v>
      </c>
      <c r="P283" s="73">
        <f t="shared" si="4"/>
        <v>9.0909090909090917</v>
      </c>
    </row>
    <row r="284" spans="1:16" x14ac:dyDescent="0.25">
      <c r="A284" s="72" t="s">
        <v>337</v>
      </c>
      <c r="B284" s="73">
        <f>(12*20)/12</f>
        <v>20</v>
      </c>
      <c r="C284" s="72" t="s">
        <v>38</v>
      </c>
      <c r="D284" s="74">
        <v>68600</v>
      </c>
      <c r="E284" s="75">
        <v>150</v>
      </c>
      <c r="F284" s="75">
        <v>8</v>
      </c>
      <c r="G284" s="76">
        <v>0.10100000000000001</v>
      </c>
      <c r="H284" s="77">
        <v>2.87</v>
      </c>
      <c r="I284" s="77">
        <v>2.91</v>
      </c>
      <c r="J284" s="77">
        <v>2.61</v>
      </c>
      <c r="K284" s="77">
        <v>0.89</v>
      </c>
      <c r="L284" s="77">
        <v>9.3000000000000007</v>
      </c>
      <c r="M284" s="77">
        <v>6.3</v>
      </c>
      <c r="N284" s="77">
        <v>6.89</v>
      </c>
      <c r="O284" s="77">
        <v>22.5</v>
      </c>
      <c r="P284" s="73">
        <f t="shared" si="4"/>
        <v>9.9009900990099009</v>
      </c>
    </row>
    <row r="285" spans="1:16" x14ac:dyDescent="0.25">
      <c r="A285" s="72" t="s">
        <v>338</v>
      </c>
      <c r="B285" s="73">
        <f>(12*30)/12</f>
        <v>30</v>
      </c>
      <c r="C285" s="72" t="s">
        <v>38</v>
      </c>
      <c r="D285" s="74">
        <v>88100</v>
      </c>
      <c r="E285" s="75">
        <v>150</v>
      </c>
      <c r="F285" s="75">
        <v>8</v>
      </c>
      <c r="G285" s="76">
        <v>6.7000000000000004E-2</v>
      </c>
      <c r="H285" s="77">
        <v>1.91</v>
      </c>
      <c r="I285" s="77">
        <v>1.94</v>
      </c>
      <c r="J285" s="77">
        <v>2.23</v>
      </c>
      <c r="K285" s="77">
        <v>0.59</v>
      </c>
      <c r="L285" s="77">
        <v>6.69</v>
      </c>
      <c r="M285" s="77">
        <v>5.39</v>
      </c>
      <c r="N285" s="77">
        <v>4.59</v>
      </c>
      <c r="O285" s="77">
        <v>16.690000000000001</v>
      </c>
      <c r="P285" s="73">
        <f t="shared" si="4"/>
        <v>14.925373134328357</v>
      </c>
    </row>
    <row r="286" spans="1:16" x14ac:dyDescent="0.25">
      <c r="A286" s="72" t="s">
        <v>339</v>
      </c>
      <c r="B286" s="73">
        <f>(15*15)/12</f>
        <v>18.75</v>
      </c>
      <c r="C286" s="72" t="s">
        <v>38</v>
      </c>
      <c r="D286" s="74">
        <v>83600</v>
      </c>
      <c r="E286" s="75">
        <v>150</v>
      </c>
      <c r="F286" s="75">
        <v>8</v>
      </c>
      <c r="G286" s="76">
        <v>0.108</v>
      </c>
      <c r="H286" s="77">
        <v>3.07</v>
      </c>
      <c r="I286" s="77">
        <v>3.12</v>
      </c>
      <c r="J286" s="77">
        <v>3.4</v>
      </c>
      <c r="K286" s="77">
        <v>0.95</v>
      </c>
      <c r="L286" s="77">
        <v>10.55</v>
      </c>
      <c r="M286" s="77">
        <v>8.2100000000000009</v>
      </c>
      <c r="N286" s="77">
        <v>7.37</v>
      </c>
      <c r="O286" s="77">
        <v>26.15</v>
      </c>
      <c r="P286" s="73">
        <f t="shared" si="4"/>
        <v>9.2592592592592595</v>
      </c>
    </row>
    <row r="287" spans="1:16" x14ac:dyDescent="0.25">
      <c r="A287" s="72" t="s">
        <v>340</v>
      </c>
      <c r="B287" s="73">
        <f>(8*30)/12</f>
        <v>20</v>
      </c>
      <c r="C287" s="72" t="s">
        <v>39</v>
      </c>
      <c r="D287" s="74">
        <v>127000</v>
      </c>
      <c r="E287" s="75">
        <v>150</v>
      </c>
      <c r="F287" s="75">
        <v>8</v>
      </c>
      <c r="G287" s="76">
        <v>0.08</v>
      </c>
      <c r="H287" s="77">
        <v>2.27</v>
      </c>
      <c r="I287" s="77">
        <v>2.73</v>
      </c>
      <c r="J287" s="77">
        <v>3.82</v>
      </c>
      <c r="K287" s="77">
        <v>0.77</v>
      </c>
      <c r="L287" s="77">
        <v>9.6</v>
      </c>
      <c r="M287" s="77">
        <v>9.2200000000000006</v>
      </c>
      <c r="N287" s="77">
        <v>5.95</v>
      </c>
      <c r="O287" s="77">
        <v>24.78</v>
      </c>
      <c r="P287" s="73">
        <f t="shared" si="4"/>
        <v>12.5</v>
      </c>
    </row>
    <row r="288" spans="1:16" x14ac:dyDescent="0.25">
      <c r="A288" s="72" t="s">
        <v>341</v>
      </c>
      <c r="B288" s="73">
        <f>(12*30)/12</f>
        <v>30</v>
      </c>
      <c r="C288" s="72" t="s">
        <v>39</v>
      </c>
      <c r="D288" s="74">
        <v>161000</v>
      </c>
      <c r="E288" s="75">
        <v>150</v>
      </c>
      <c r="F288" s="75">
        <v>8</v>
      </c>
      <c r="G288" s="76">
        <v>5.2999999999999999E-2</v>
      </c>
      <c r="H288" s="77">
        <v>1.51</v>
      </c>
      <c r="I288" s="77">
        <v>1.81</v>
      </c>
      <c r="J288" s="77">
        <v>3.22</v>
      </c>
      <c r="K288" s="77">
        <v>0.51</v>
      </c>
      <c r="L288" s="77">
        <v>7.07</v>
      </c>
      <c r="M288" s="77">
        <v>7.78</v>
      </c>
      <c r="N288" s="77">
        <v>3.96</v>
      </c>
      <c r="O288" s="77">
        <v>18.82</v>
      </c>
      <c r="P288" s="73">
        <f t="shared" si="4"/>
        <v>18.867924528301888</v>
      </c>
    </row>
    <row r="289" spans="1:16" x14ac:dyDescent="0.25">
      <c r="A289" s="72" t="s">
        <v>342</v>
      </c>
      <c r="B289" s="73">
        <f>(8*38)/12</f>
        <v>25.333333333333332</v>
      </c>
      <c r="C289" s="72" t="s">
        <v>37</v>
      </c>
      <c r="D289" s="74">
        <v>74100</v>
      </c>
      <c r="E289" s="75">
        <v>150</v>
      </c>
      <c r="F289" s="75">
        <v>8</v>
      </c>
      <c r="G289" s="76">
        <v>7.3999999999999996E-2</v>
      </c>
      <c r="H289" s="77">
        <v>2.11</v>
      </c>
      <c r="I289" s="77">
        <v>1.91</v>
      </c>
      <c r="J289" s="77">
        <v>2.0699999999999998</v>
      </c>
      <c r="K289" s="77">
        <v>0.5</v>
      </c>
      <c r="L289" s="77">
        <v>6.6</v>
      </c>
      <c r="M289" s="77">
        <v>4.99</v>
      </c>
      <c r="N289" s="77">
        <v>3.93</v>
      </c>
      <c r="O289" s="77">
        <v>15.54</v>
      </c>
      <c r="P289" s="73">
        <f t="shared" si="4"/>
        <v>13.513513513513514</v>
      </c>
    </row>
    <row r="290" spans="1:16" x14ac:dyDescent="0.25">
      <c r="A290" s="72" t="s">
        <v>343</v>
      </c>
      <c r="B290" s="73">
        <f>(8*38)/12</f>
        <v>25.333333333333332</v>
      </c>
      <c r="C290" s="72" t="s">
        <v>37</v>
      </c>
      <c r="D290" s="74">
        <v>140000</v>
      </c>
      <c r="E290" s="75">
        <v>150</v>
      </c>
      <c r="F290" s="75">
        <v>8</v>
      </c>
      <c r="G290" s="76">
        <v>4.9000000000000002E-2</v>
      </c>
      <c r="H290" s="77">
        <v>1.4</v>
      </c>
      <c r="I290" s="77">
        <v>1.27</v>
      </c>
      <c r="J290" s="77">
        <v>2.6</v>
      </c>
      <c r="K290" s="77">
        <v>0.33</v>
      </c>
      <c r="L290" s="77">
        <v>5.62</v>
      </c>
      <c r="M290" s="77">
        <v>6.28</v>
      </c>
      <c r="N290" s="77">
        <v>2.62</v>
      </c>
      <c r="O290" s="77">
        <v>14.53</v>
      </c>
      <c r="P290" s="73">
        <f t="shared" si="4"/>
        <v>20.408163265306122</v>
      </c>
    </row>
    <row r="291" spans="1:16" x14ac:dyDescent="0.25">
      <c r="A291" s="72" t="s">
        <v>344</v>
      </c>
      <c r="B291" s="73">
        <f>(12*20)/12</f>
        <v>20</v>
      </c>
      <c r="C291" s="72" t="s">
        <v>38</v>
      </c>
      <c r="D291" s="74">
        <v>65200</v>
      </c>
      <c r="E291" s="75">
        <v>150</v>
      </c>
      <c r="F291" s="75">
        <v>8</v>
      </c>
      <c r="G291" s="76">
        <v>9.4E-2</v>
      </c>
      <c r="H291" s="77">
        <v>2.67</v>
      </c>
      <c r="I291" s="77">
        <v>2.71</v>
      </c>
      <c r="J291" s="77">
        <v>2.2999999999999998</v>
      </c>
      <c r="K291" s="77">
        <v>0.82</v>
      </c>
      <c r="L291" s="77">
        <v>8.51</v>
      </c>
      <c r="M291" s="77">
        <v>5.56</v>
      </c>
      <c r="N291" s="77">
        <v>6.4</v>
      </c>
      <c r="O291" s="77">
        <v>20.48</v>
      </c>
      <c r="P291" s="73">
        <f t="shared" si="4"/>
        <v>10.638297872340425</v>
      </c>
    </row>
    <row r="292" spans="1:16" x14ac:dyDescent="0.25">
      <c r="A292" s="72" t="s">
        <v>345</v>
      </c>
      <c r="B292" s="73">
        <f>(12*30)/12</f>
        <v>30</v>
      </c>
      <c r="C292" s="72" t="s">
        <v>38</v>
      </c>
      <c r="D292" s="74">
        <v>117500</v>
      </c>
      <c r="E292" s="75">
        <v>150</v>
      </c>
      <c r="F292" s="75">
        <v>8</v>
      </c>
      <c r="G292" s="76">
        <v>6.2E-2</v>
      </c>
      <c r="H292" s="77">
        <v>1.78</v>
      </c>
      <c r="I292" s="77">
        <v>1.8</v>
      </c>
      <c r="J292" s="77">
        <v>2.76</v>
      </c>
      <c r="K292" s="77">
        <v>0.55000000000000004</v>
      </c>
      <c r="L292" s="77">
        <v>6.91</v>
      </c>
      <c r="M292" s="77">
        <v>6.68</v>
      </c>
      <c r="N292" s="77">
        <v>4.26</v>
      </c>
      <c r="O292" s="77">
        <v>17.86</v>
      </c>
      <c r="P292" s="73">
        <f t="shared" si="4"/>
        <v>16.129032258064516</v>
      </c>
    </row>
    <row r="293" spans="1:16" x14ac:dyDescent="0.25">
      <c r="A293" s="72" t="s">
        <v>346</v>
      </c>
      <c r="B293" s="73">
        <f>(12*38)/12</f>
        <v>38</v>
      </c>
      <c r="C293" s="72" t="s">
        <v>38</v>
      </c>
      <c r="D293" s="74">
        <v>14000</v>
      </c>
      <c r="E293" s="75">
        <v>150</v>
      </c>
      <c r="F293" s="75">
        <v>8</v>
      </c>
      <c r="G293" s="76">
        <v>4.9000000000000002E-2</v>
      </c>
      <c r="H293" s="77">
        <v>1.4</v>
      </c>
      <c r="I293" s="77">
        <v>1.42</v>
      </c>
      <c r="J293" s="77">
        <v>2.6</v>
      </c>
      <c r="K293" s="77">
        <v>0.43</v>
      </c>
      <c r="L293" s="77">
        <v>5.87</v>
      </c>
      <c r="M293" s="77">
        <v>6.28</v>
      </c>
      <c r="N293" s="77">
        <v>3.36</v>
      </c>
      <c r="O293" s="77">
        <v>15.53</v>
      </c>
      <c r="P293" s="73">
        <f t="shared" si="4"/>
        <v>20.408163265306122</v>
      </c>
    </row>
    <row r="294" spans="1:16" x14ac:dyDescent="0.25">
      <c r="A294" s="72" t="s">
        <v>347</v>
      </c>
      <c r="B294" s="73">
        <f>(16*30)/12</f>
        <v>40</v>
      </c>
      <c r="C294" s="72" t="s">
        <v>38</v>
      </c>
      <c r="D294" s="74">
        <v>194000</v>
      </c>
      <c r="E294" s="75">
        <v>150</v>
      </c>
      <c r="F294" s="75">
        <v>8</v>
      </c>
      <c r="G294" s="76">
        <v>4.7E-2</v>
      </c>
      <c r="H294" s="77">
        <v>1.33</v>
      </c>
      <c r="I294" s="77">
        <v>1.35</v>
      </c>
      <c r="J294" s="77">
        <v>3.42</v>
      </c>
      <c r="K294" s="77">
        <v>0.41</v>
      </c>
      <c r="L294" s="77">
        <v>6.53</v>
      </c>
      <c r="M294" s="77">
        <v>8.27</v>
      </c>
      <c r="N294" s="77">
        <v>3.2</v>
      </c>
      <c r="O294" s="77">
        <v>18.010000000000002</v>
      </c>
      <c r="P294" s="73">
        <f t="shared" si="4"/>
        <v>21.276595744680851</v>
      </c>
    </row>
    <row r="295" spans="1:16" x14ac:dyDescent="0.25">
      <c r="A295" s="72" t="s">
        <v>348</v>
      </c>
      <c r="B295" s="73">
        <f>(23*15)/12</f>
        <v>28.75</v>
      </c>
      <c r="C295" s="72" t="s">
        <v>38</v>
      </c>
      <c r="D295" s="74">
        <v>184000</v>
      </c>
      <c r="E295" s="75">
        <v>150</v>
      </c>
      <c r="F295" s="75">
        <v>8</v>
      </c>
      <c r="G295" s="76">
        <v>6.5000000000000002E-2</v>
      </c>
      <c r="H295" s="77">
        <v>1.85</v>
      </c>
      <c r="I295" s="77">
        <v>1.88</v>
      </c>
      <c r="J295" s="77">
        <v>4.51</v>
      </c>
      <c r="K295" s="77">
        <v>0.56999999999999995</v>
      </c>
      <c r="L295" s="77">
        <v>8.83</v>
      </c>
      <c r="M295" s="77">
        <v>10.9</v>
      </c>
      <c r="N295" s="77">
        <v>4.4400000000000004</v>
      </c>
      <c r="O295" s="77">
        <v>24.18</v>
      </c>
      <c r="P295" s="73">
        <f t="shared" si="4"/>
        <v>15.384615384615383</v>
      </c>
    </row>
    <row r="296" spans="1:16" x14ac:dyDescent="0.25">
      <c r="A296" s="72" t="s">
        <v>349</v>
      </c>
      <c r="B296" s="73">
        <f>(24*20)/12</f>
        <v>40</v>
      </c>
      <c r="C296" s="72" t="s">
        <v>38</v>
      </c>
      <c r="D296" s="74">
        <v>234000</v>
      </c>
      <c r="E296" s="75">
        <v>150</v>
      </c>
      <c r="F296" s="75">
        <v>8</v>
      </c>
      <c r="G296" s="76">
        <v>4.7E-2</v>
      </c>
      <c r="H296" s="77">
        <v>1.33</v>
      </c>
      <c r="I296" s="77">
        <v>1.35</v>
      </c>
      <c r="J296" s="77">
        <v>4.13</v>
      </c>
      <c r="K296" s="77">
        <v>0.41</v>
      </c>
      <c r="L296" s="77">
        <v>7.24</v>
      </c>
      <c r="M296" s="77">
        <v>9.98</v>
      </c>
      <c r="N296" s="77">
        <v>3.2</v>
      </c>
      <c r="O296" s="77">
        <v>20.420000000000002</v>
      </c>
      <c r="P296" s="73">
        <f t="shared" si="4"/>
        <v>21.276595744680851</v>
      </c>
    </row>
    <row r="297" spans="1:16" x14ac:dyDescent="0.25">
      <c r="A297" s="72" t="s">
        <v>350</v>
      </c>
      <c r="B297" s="73">
        <f>(24*30)/12</f>
        <v>60</v>
      </c>
      <c r="C297" s="72" t="s">
        <v>38</v>
      </c>
      <c r="D297" s="74">
        <v>184000</v>
      </c>
      <c r="E297" s="75">
        <v>150</v>
      </c>
      <c r="F297" s="75">
        <v>8</v>
      </c>
      <c r="G297" s="76">
        <v>3.1E-2</v>
      </c>
      <c r="H297" s="77">
        <v>0.89</v>
      </c>
      <c r="I297" s="77">
        <v>0.9</v>
      </c>
      <c r="J297" s="77">
        <v>2.16</v>
      </c>
      <c r="K297" s="77">
        <v>0.27</v>
      </c>
      <c r="L297" s="77">
        <v>4.2300000000000004</v>
      </c>
      <c r="M297" s="77">
        <v>5.23</v>
      </c>
      <c r="N297" s="77">
        <v>2.13</v>
      </c>
      <c r="O297" s="77">
        <v>11.6</v>
      </c>
      <c r="P297" s="73">
        <f t="shared" si="4"/>
        <v>32.258064516129032</v>
      </c>
    </row>
    <row r="298" spans="1:16" x14ac:dyDescent="0.25">
      <c r="A298" s="72" t="s">
        <v>351</v>
      </c>
      <c r="B298" s="73">
        <f>(31*15)/12</f>
        <v>38.75</v>
      </c>
      <c r="C298" s="72" t="s">
        <v>39</v>
      </c>
      <c r="D298" s="74">
        <v>225000</v>
      </c>
      <c r="E298" s="75">
        <v>150</v>
      </c>
      <c r="F298" s="75">
        <v>8</v>
      </c>
      <c r="G298" s="76">
        <v>4.8000000000000001E-2</v>
      </c>
      <c r="H298" s="77">
        <v>1.38</v>
      </c>
      <c r="I298" s="77">
        <v>1.65</v>
      </c>
      <c r="J298" s="77">
        <v>4.1100000000000003</v>
      </c>
      <c r="K298" s="77">
        <v>0.46</v>
      </c>
      <c r="L298" s="77">
        <v>7.61</v>
      </c>
      <c r="M298" s="77">
        <v>9.92</v>
      </c>
      <c r="N298" s="77">
        <v>3.61</v>
      </c>
      <c r="O298" s="77">
        <v>21.16</v>
      </c>
      <c r="P298" s="73">
        <f t="shared" si="4"/>
        <v>20.833333333333332</v>
      </c>
    </row>
    <row r="299" spans="1:16" x14ac:dyDescent="0.25">
      <c r="A299" s="72" t="s">
        <v>352</v>
      </c>
      <c r="B299" s="73">
        <f>(32*15)/12</f>
        <v>40</v>
      </c>
      <c r="C299" s="72" t="s">
        <v>39</v>
      </c>
      <c r="D299" s="74">
        <v>229000</v>
      </c>
      <c r="E299" s="75">
        <v>150</v>
      </c>
      <c r="F299" s="75">
        <v>8</v>
      </c>
      <c r="G299" s="76">
        <v>4.7E-2</v>
      </c>
      <c r="H299" s="77">
        <v>1.33</v>
      </c>
      <c r="I299" s="77">
        <v>1.6</v>
      </c>
      <c r="J299" s="77">
        <v>4.04</v>
      </c>
      <c r="K299" s="77">
        <v>0.45</v>
      </c>
      <c r="L299" s="77">
        <v>7.44</v>
      </c>
      <c r="M299" s="77">
        <v>9.77</v>
      </c>
      <c r="N299" s="77">
        <v>3.49</v>
      </c>
      <c r="O299" s="77">
        <v>20.71</v>
      </c>
      <c r="P299" s="73">
        <f t="shared" si="4"/>
        <v>21.276595744680851</v>
      </c>
    </row>
    <row r="300" spans="1:16" x14ac:dyDescent="0.25">
      <c r="A300" s="72" t="s">
        <v>353</v>
      </c>
      <c r="B300" s="73">
        <f>(4*30)/12</f>
        <v>10</v>
      </c>
      <c r="C300" s="72" t="s">
        <v>33</v>
      </c>
      <c r="D300" s="74">
        <v>33400</v>
      </c>
      <c r="E300" s="75">
        <v>150</v>
      </c>
      <c r="F300" s="75">
        <v>8</v>
      </c>
      <c r="G300" s="76">
        <v>0.188</v>
      </c>
      <c r="H300" s="77">
        <v>5.34</v>
      </c>
      <c r="I300" s="77">
        <v>3.7</v>
      </c>
      <c r="J300" s="77">
        <v>2.36</v>
      </c>
      <c r="K300" s="77">
        <v>0.85</v>
      </c>
      <c r="L300" s="77">
        <v>12.26</v>
      </c>
      <c r="M300" s="77">
        <v>5.7</v>
      </c>
      <c r="N300" s="77">
        <v>6.36</v>
      </c>
      <c r="O300" s="77">
        <v>24.33</v>
      </c>
      <c r="P300" s="73">
        <f t="shared" si="4"/>
        <v>5.3191489361702127</v>
      </c>
    </row>
    <row r="301" spans="1:16" x14ac:dyDescent="0.25">
      <c r="A301" s="72" t="s">
        <v>354</v>
      </c>
      <c r="B301" s="73">
        <f>(4*38)/12</f>
        <v>12.666666666666666</v>
      </c>
      <c r="C301" s="72" t="s">
        <v>33</v>
      </c>
      <c r="D301" s="74">
        <v>28200</v>
      </c>
      <c r="E301" s="75">
        <v>150</v>
      </c>
      <c r="F301" s="75">
        <v>8</v>
      </c>
      <c r="G301" s="76">
        <v>0.14799999999999999</v>
      </c>
      <c r="H301" s="77">
        <v>4.2</v>
      </c>
      <c r="I301" s="77">
        <v>2.92</v>
      </c>
      <c r="J301" s="77">
        <v>1.57</v>
      </c>
      <c r="K301" s="77">
        <v>0.66</v>
      </c>
      <c r="L301" s="77">
        <v>9.36</v>
      </c>
      <c r="M301" s="77">
        <v>3.79</v>
      </c>
      <c r="N301" s="77">
        <v>5.01</v>
      </c>
      <c r="O301" s="77">
        <v>18.170000000000002</v>
      </c>
      <c r="P301" s="73">
        <f t="shared" si="4"/>
        <v>6.756756756756757</v>
      </c>
    </row>
    <row r="302" spans="1:16" x14ac:dyDescent="0.25">
      <c r="A302" s="72" t="s">
        <v>355</v>
      </c>
      <c r="B302" s="73">
        <f>(6*30)/12</f>
        <v>15</v>
      </c>
      <c r="C302" s="72" t="s">
        <v>36</v>
      </c>
      <c r="D302" s="74">
        <v>40700</v>
      </c>
      <c r="E302" s="75">
        <v>150</v>
      </c>
      <c r="F302" s="75">
        <v>8</v>
      </c>
      <c r="G302" s="76">
        <v>0.125</v>
      </c>
      <c r="H302" s="77">
        <v>3.56</v>
      </c>
      <c r="I302" s="77">
        <v>2.85</v>
      </c>
      <c r="J302" s="77">
        <v>1.91</v>
      </c>
      <c r="K302" s="77">
        <v>0.76</v>
      </c>
      <c r="L302" s="77">
        <v>9.09</v>
      </c>
      <c r="M302" s="77">
        <v>4.63</v>
      </c>
      <c r="N302" s="77">
        <v>5.7</v>
      </c>
      <c r="O302" s="77">
        <v>19.43</v>
      </c>
      <c r="P302" s="73">
        <f t="shared" si="4"/>
        <v>8</v>
      </c>
    </row>
    <row r="303" spans="1:16" x14ac:dyDescent="0.25">
      <c r="A303" s="72" t="s">
        <v>356</v>
      </c>
      <c r="B303" s="73">
        <f>(6*38)/12</f>
        <v>19</v>
      </c>
      <c r="C303" s="72" t="s">
        <v>36</v>
      </c>
      <c r="D303" s="74">
        <v>36700</v>
      </c>
      <c r="E303" s="75">
        <v>150</v>
      </c>
      <c r="F303" s="75">
        <v>8</v>
      </c>
      <c r="G303" s="76">
        <v>9.9000000000000005E-2</v>
      </c>
      <c r="H303" s="77">
        <v>2.81</v>
      </c>
      <c r="I303" s="77">
        <v>2.25</v>
      </c>
      <c r="J303" s="77">
        <v>1.36</v>
      </c>
      <c r="K303" s="77">
        <v>0.6</v>
      </c>
      <c r="L303" s="77">
        <v>7.03</v>
      </c>
      <c r="M303" s="77">
        <v>3.29</v>
      </c>
      <c r="N303" s="77">
        <v>4.5</v>
      </c>
      <c r="O303" s="77">
        <v>14.83</v>
      </c>
      <c r="P303" s="73">
        <f t="shared" si="4"/>
        <v>10.1010101010101</v>
      </c>
    </row>
    <row r="304" spans="1:16" x14ac:dyDescent="0.25">
      <c r="A304" s="72" t="s">
        <v>357</v>
      </c>
      <c r="B304" s="73">
        <f>(8*30)/12</f>
        <v>20</v>
      </c>
      <c r="C304" s="72" t="s">
        <v>37</v>
      </c>
      <c r="D304" s="74">
        <v>55100</v>
      </c>
      <c r="E304" s="75">
        <v>150</v>
      </c>
      <c r="F304" s="75">
        <v>8</v>
      </c>
      <c r="G304" s="76">
        <v>9.4E-2</v>
      </c>
      <c r="H304" s="77">
        <v>2.67</v>
      </c>
      <c r="I304" s="77">
        <v>2.42</v>
      </c>
      <c r="J304" s="77">
        <v>1.94</v>
      </c>
      <c r="K304" s="77">
        <v>0.64</v>
      </c>
      <c r="L304" s="77">
        <v>7.68</v>
      </c>
      <c r="M304" s="77">
        <v>4.7</v>
      </c>
      <c r="N304" s="77">
        <v>4.97</v>
      </c>
      <c r="O304" s="77">
        <v>17.37</v>
      </c>
      <c r="P304" s="73">
        <f t="shared" si="4"/>
        <v>10.638297872340425</v>
      </c>
    </row>
    <row r="305" spans="1:16" x14ac:dyDescent="0.25">
      <c r="A305" s="72" t="s">
        <v>358</v>
      </c>
      <c r="B305" s="73">
        <f>(8*38)/12</f>
        <v>25.333333333333332</v>
      </c>
      <c r="C305" s="72" t="s">
        <v>37</v>
      </c>
      <c r="D305" s="74">
        <v>51600</v>
      </c>
      <c r="E305" s="75">
        <v>150</v>
      </c>
      <c r="F305" s="75">
        <v>8</v>
      </c>
      <c r="G305" s="76">
        <v>7.3999999999999996E-2</v>
      </c>
      <c r="H305" s="77">
        <v>2.11</v>
      </c>
      <c r="I305" s="77">
        <v>1.91</v>
      </c>
      <c r="J305" s="77">
        <v>1.44</v>
      </c>
      <c r="K305" s="77">
        <v>0.5</v>
      </c>
      <c r="L305" s="77">
        <v>5.98</v>
      </c>
      <c r="M305" s="77">
        <v>3.48</v>
      </c>
      <c r="N305" s="77">
        <v>3.93</v>
      </c>
      <c r="O305" s="77">
        <v>13.39</v>
      </c>
      <c r="P305" s="73">
        <f t="shared" si="4"/>
        <v>13.513513513513514</v>
      </c>
    </row>
    <row r="306" spans="1:16" x14ac:dyDescent="0.25">
      <c r="A306" s="72" t="s">
        <v>359</v>
      </c>
      <c r="B306" s="73">
        <f>(11*15)/12</f>
        <v>13.75</v>
      </c>
      <c r="C306" s="72" t="s">
        <v>37</v>
      </c>
      <c r="D306" s="74">
        <v>53800</v>
      </c>
      <c r="E306" s="75">
        <v>150</v>
      </c>
      <c r="F306" s="75">
        <v>8</v>
      </c>
      <c r="G306" s="76">
        <v>0.13700000000000001</v>
      </c>
      <c r="H306" s="77">
        <v>3.9</v>
      </c>
      <c r="I306" s="77">
        <v>3.54</v>
      </c>
      <c r="J306" s="77">
        <v>2.77</v>
      </c>
      <c r="K306" s="77">
        <v>0.93</v>
      </c>
      <c r="L306" s="77">
        <v>11.15</v>
      </c>
      <c r="M306" s="77">
        <v>6.7</v>
      </c>
      <c r="N306" s="77">
        <v>7.26</v>
      </c>
      <c r="O306" s="77">
        <v>25.13</v>
      </c>
      <c r="P306" s="73">
        <f t="shared" si="4"/>
        <v>7.2992700729926998</v>
      </c>
    </row>
    <row r="307" spans="1:16" x14ac:dyDescent="0.25">
      <c r="A307" s="72" t="s">
        <v>360</v>
      </c>
      <c r="B307" s="73">
        <f>(11*20)/12</f>
        <v>18.333333333333332</v>
      </c>
      <c r="C307" s="72" t="s">
        <v>37</v>
      </c>
      <c r="D307" s="74">
        <v>58500</v>
      </c>
      <c r="E307" s="75">
        <v>150</v>
      </c>
      <c r="F307" s="75">
        <v>8</v>
      </c>
      <c r="G307" s="76">
        <v>0.10299999999999999</v>
      </c>
      <c r="H307" s="77">
        <v>2.92</v>
      </c>
      <c r="I307" s="77">
        <v>2.65</v>
      </c>
      <c r="J307" s="77">
        <v>2.2599999999999998</v>
      </c>
      <c r="K307" s="77">
        <v>0.7</v>
      </c>
      <c r="L307" s="77">
        <v>8.5299999999999994</v>
      </c>
      <c r="M307" s="77">
        <v>5.45</v>
      </c>
      <c r="N307" s="77">
        <v>5.44</v>
      </c>
      <c r="O307" s="77">
        <v>19.43</v>
      </c>
      <c r="P307" s="73">
        <f t="shared" si="4"/>
        <v>9.7087378640776709</v>
      </c>
    </row>
    <row r="308" spans="1:16" x14ac:dyDescent="0.25">
      <c r="A308" s="72" t="s">
        <v>361</v>
      </c>
      <c r="B308" s="73">
        <f>(12*20)/12</f>
        <v>20</v>
      </c>
      <c r="C308" s="72" t="s">
        <v>38</v>
      </c>
      <c r="D308" s="74">
        <v>62500</v>
      </c>
      <c r="E308" s="75">
        <v>150</v>
      </c>
      <c r="F308" s="75">
        <v>8</v>
      </c>
      <c r="G308" s="76">
        <v>9.4E-2</v>
      </c>
      <c r="H308" s="77">
        <v>2.67</v>
      </c>
      <c r="I308" s="77">
        <v>2.71</v>
      </c>
      <c r="J308" s="77">
        <v>2.2000000000000002</v>
      </c>
      <c r="K308" s="77">
        <v>0.82</v>
      </c>
      <c r="L308" s="77">
        <v>8.42</v>
      </c>
      <c r="M308" s="77">
        <v>5.33</v>
      </c>
      <c r="N308" s="77">
        <v>6.4</v>
      </c>
      <c r="O308" s="77">
        <v>20.149999999999999</v>
      </c>
      <c r="P308" s="73">
        <f t="shared" si="4"/>
        <v>10.638297872340425</v>
      </c>
    </row>
    <row r="309" spans="1:16" x14ac:dyDescent="0.25">
      <c r="A309" s="72" t="s">
        <v>362</v>
      </c>
      <c r="B309" s="73">
        <f>(12*30)/12</f>
        <v>30</v>
      </c>
      <c r="C309" s="72" t="s">
        <v>38</v>
      </c>
      <c r="D309" s="74">
        <v>77800</v>
      </c>
      <c r="E309" s="75">
        <v>150</v>
      </c>
      <c r="F309" s="75">
        <v>8</v>
      </c>
      <c r="G309" s="76">
        <v>6.2E-2</v>
      </c>
      <c r="H309" s="77">
        <v>1.78</v>
      </c>
      <c r="I309" s="77">
        <v>1.8</v>
      </c>
      <c r="J309" s="77">
        <v>1.83</v>
      </c>
      <c r="K309" s="77">
        <v>0.55000000000000004</v>
      </c>
      <c r="L309" s="77">
        <v>5.97</v>
      </c>
      <c r="M309" s="77">
        <v>4.42</v>
      </c>
      <c r="N309" s="77">
        <v>4.26</v>
      </c>
      <c r="O309" s="77">
        <v>14.67</v>
      </c>
      <c r="P309" s="73">
        <f t="shared" si="4"/>
        <v>16.129032258064516</v>
      </c>
    </row>
    <row r="310" spans="1:16" x14ac:dyDescent="0.25">
      <c r="A310" s="72" t="s">
        <v>363</v>
      </c>
      <c r="B310" s="73">
        <f>(15*15)/12</f>
        <v>18.75</v>
      </c>
      <c r="C310" s="72" t="s">
        <v>38</v>
      </c>
      <c r="D310" s="74">
        <v>73300</v>
      </c>
      <c r="E310" s="75">
        <v>150</v>
      </c>
      <c r="F310" s="75">
        <v>8</v>
      </c>
      <c r="G310" s="76">
        <v>9.4E-2</v>
      </c>
      <c r="H310" s="77">
        <v>2.67</v>
      </c>
      <c r="I310" s="77">
        <v>2.14</v>
      </c>
      <c r="J310" s="77">
        <v>2.59</v>
      </c>
      <c r="K310" s="77">
        <v>0.49</v>
      </c>
      <c r="L310" s="77">
        <v>7.89</v>
      </c>
      <c r="M310" s="77">
        <v>6.25</v>
      </c>
      <c r="N310" s="77">
        <v>3.69</v>
      </c>
      <c r="O310" s="77">
        <v>17.850000000000001</v>
      </c>
      <c r="P310" s="73">
        <f t="shared" si="4"/>
        <v>10.638297872340425</v>
      </c>
    </row>
    <row r="311" spans="1:16" x14ac:dyDescent="0.25">
      <c r="A311" s="72" t="s">
        <v>364</v>
      </c>
      <c r="B311" s="73">
        <f>(8*30)/12</f>
        <v>20</v>
      </c>
      <c r="C311" s="72" t="s">
        <v>39</v>
      </c>
      <c r="D311" s="74">
        <v>121000</v>
      </c>
      <c r="E311" s="75">
        <v>150</v>
      </c>
      <c r="F311" s="75">
        <v>8</v>
      </c>
      <c r="G311" s="76">
        <v>7.3999999999999996E-2</v>
      </c>
      <c r="H311" s="77">
        <v>2.11</v>
      </c>
      <c r="I311" s="77">
        <v>2.5299999999999998</v>
      </c>
      <c r="J311" s="77">
        <v>3.38</v>
      </c>
      <c r="K311" s="77">
        <v>0.71</v>
      </c>
      <c r="L311" s="77">
        <v>8.74</v>
      </c>
      <c r="M311" s="77">
        <v>8.16</v>
      </c>
      <c r="N311" s="77">
        <v>5.53</v>
      </c>
      <c r="O311" s="77">
        <v>22.44</v>
      </c>
      <c r="P311" s="73">
        <f t="shared" si="4"/>
        <v>13.513513513513514</v>
      </c>
    </row>
    <row r="312" spans="1:16" x14ac:dyDescent="0.25">
      <c r="A312" s="72" t="s">
        <v>365</v>
      </c>
      <c r="B312" s="73">
        <f>(12*30)/12</f>
        <v>30</v>
      </c>
      <c r="C312" s="72" t="s">
        <v>39</v>
      </c>
      <c r="D312" s="74">
        <v>150000</v>
      </c>
      <c r="E312" s="75">
        <v>150</v>
      </c>
      <c r="F312" s="75">
        <v>8</v>
      </c>
      <c r="G312" s="76">
        <v>4.9000000000000002E-2</v>
      </c>
      <c r="H312" s="77">
        <v>1.4</v>
      </c>
      <c r="I312" s="77">
        <v>1.68</v>
      </c>
      <c r="J312" s="77">
        <v>2.79</v>
      </c>
      <c r="K312" s="77">
        <v>0.47</v>
      </c>
      <c r="L312" s="77">
        <v>6.36</v>
      </c>
      <c r="M312" s="77">
        <v>6.73</v>
      </c>
      <c r="N312" s="77">
        <v>3.68</v>
      </c>
      <c r="O312" s="77">
        <v>16.78</v>
      </c>
      <c r="P312" s="73">
        <f t="shared" si="4"/>
        <v>20.408163265306122</v>
      </c>
    </row>
    <row r="313" spans="1:16" x14ac:dyDescent="0.25">
      <c r="A313" s="5" t="s">
        <v>366</v>
      </c>
      <c r="B313" s="78">
        <v>12</v>
      </c>
      <c r="C313" s="5" t="s">
        <v>33</v>
      </c>
      <c r="D313" s="79">
        <v>7470</v>
      </c>
      <c r="E313" s="80">
        <v>300</v>
      </c>
      <c r="F313" s="80">
        <v>12</v>
      </c>
      <c r="G313" s="81">
        <v>0.124</v>
      </c>
      <c r="H313" s="82">
        <v>2.39</v>
      </c>
      <c r="I313" s="82">
        <v>2.44</v>
      </c>
      <c r="J313" s="82">
        <v>0.21</v>
      </c>
      <c r="K313" s="82">
        <v>0.56000000000000005</v>
      </c>
      <c r="L313" s="82">
        <v>5.62</v>
      </c>
      <c r="M313" s="82">
        <v>0.38</v>
      </c>
      <c r="N313" s="82">
        <v>4.2</v>
      </c>
      <c r="O313" s="82">
        <v>10.210000000000001</v>
      </c>
      <c r="P313" s="78">
        <f t="shared" si="4"/>
        <v>8.064516129032258</v>
      </c>
    </row>
    <row r="314" spans="1:16" x14ac:dyDescent="0.25">
      <c r="A314" s="5" t="s">
        <v>367</v>
      </c>
      <c r="B314" s="78">
        <v>20</v>
      </c>
      <c r="C314" s="5" t="s">
        <v>36</v>
      </c>
      <c r="D314" s="79">
        <v>13500</v>
      </c>
      <c r="E314" s="80">
        <v>300</v>
      </c>
      <c r="F314" s="80">
        <v>12</v>
      </c>
      <c r="G314" s="81">
        <v>7.3999999999999996E-2</v>
      </c>
      <c r="H314" s="82">
        <v>1.43</v>
      </c>
      <c r="I314" s="82">
        <v>1.69</v>
      </c>
      <c r="J314" s="82">
        <v>0.23</v>
      </c>
      <c r="K314" s="82">
        <v>0.45</v>
      </c>
      <c r="L314" s="82">
        <v>3.82</v>
      </c>
      <c r="M314" s="82">
        <v>0.41</v>
      </c>
      <c r="N314" s="82">
        <v>3.38</v>
      </c>
      <c r="O314" s="82">
        <v>7.62</v>
      </c>
      <c r="P314" s="78">
        <f t="shared" si="4"/>
        <v>13.513513513513514</v>
      </c>
    </row>
    <row r="315" spans="1:16" x14ac:dyDescent="0.25">
      <c r="A315" s="5" t="s">
        <v>368</v>
      </c>
      <c r="B315" s="78">
        <v>30</v>
      </c>
      <c r="C315" s="5" t="s">
        <v>37</v>
      </c>
      <c r="D315" s="79">
        <v>21100</v>
      </c>
      <c r="E315" s="80">
        <v>300</v>
      </c>
      <c r="F315" s="80">
        <v>12</v>
      </c>
      <c r="G315" s="81">
        <v>4.9000000000000002E-2</v>
      </c>
      <c r="H315" s="82">
        <v>0.95</v>
      </c>
      <c r="I315" s="82">
        <v>1.28</v>
      </c>
      <c r="J315" s="82">
        <v>0.24</v>
      </c>
      <c r="K315" s="82">
        <v>0.33</v>
      </c>
      <c r="L315" s="82">
        <v>2.82</v>
      </c>
      <c r="M315" s="82">
        <v>0.43</v>
      </c>
      <c r="N315" s="82">
        <v>2.62</v>
      </c>
      <c r="O315" s="82">
        <v>5.88</v>
      </c>
      <c r="P315" s="78">
        <f t="shared" si="4"/>
        <v>20.408163265306122</v>
      </c>
    </row>
    <row r="316" spans="1:16" x14ac:dyDescent="0.25">
      <c r="A316" s="5" t="s">
        <v>369</v>
      </c>
      <c r="B316" s="78">
        <v>38</v>
      </c>
      <c r="C316" s="5" t="s">
        <v>39</v>
      </c>
      <c r="D316" s="79">
        <v>27500</v>
      </c>
      <c r="E316" s="80">
        <v>300</v>
      </c>
      <c r="F316" s="80">
        <v>12</v>
      </c>
      <c r="G316" s="81">
        <v>3.9E-2</v>
      </c>
      <c r="H316" s="82">
        <v>0.75</v>
      </c>
      <c r="I316" s="82">
        <v>1.33</v>
      </c>
      <c r="J316" s="82">
        <v>0.25</v>
      </c>
      <c r="K316" s="82">
        <v>0.37</v>
      </c>
      <c r="L316" s="82">
        <v>2.72</v>
      </c>
      <c r="M316" s="82">
        <v>0.44</v>
      </c>
      <c r="N316" s="82">
        <v>2.91</v>
      </c>
      <c r="O316" s="82">
        <v>6.08</v>
      </c>
      <c r="P316" s="78">
        <f t="shared" si="4"/>
        <v>25.641025641025642</v>
      </c>
    </row>
    <row r="317" spans="1:16" x14ac:dyDescent="0.25">
      <c r="A317" s="5" t="s">
        <v>370</v>
      </c>
      <c r="B317" s="78">
        <v>20</v>
      </c>
      <c r="C317" s="5" t="s">
        <v>36</v>
      </c>
      <c r="D317" s="79">
        <v>15900</v>
      </c>
      <c r="E317" s="80">
        <v>300</v>
      </c>
      <c r="F317" s="80">
        <v>12</v>
      </c>
      <c r="G317" s="81">
        <v>7.3999999999999996E-2</v>
      </c>
      <c r="H317" s="82">
        <v>1.43</v>
      </c>
      <c r="I317" s="82">
        <v>0.56000000000000005</v>
      </c>
      <c r="J317" s="82">
        <v>0.28000000000000003</v>
      </c>
      <c r="K317" s="82">
        <v>0.06</v>
      </c>
      <c r="L317" s="82">
        <v>2.35</v>
      </c>
      <c r="M317" s="82">
        <v>0.48</v>
      </c>
      <c r="N317" s="82">
        <v>0.51</v>
      </c>
      <c r="O317" s="82">
        <v>3.35</v>
      </c>
      <c r="P317" s="78">
        <f t="shared" si="4"/>
        <v>13.513513513513514</v>
      </c>
    </row>
    <row r="318" spans="1:16" x14ac:dyDescent="0.25">
      <c r="A318" s="5" t="s">
        <v>371</v>
      </c>
      <c r="B318" s="78">
        <v>32</v>
      </c>
      <c r="C318" s="5" t="s">
        <v>39</v>
      </c>
      <c r="D318" s="79">
        <v>23700</v>
      </c>
      <c r="E318" s="80">
        <v>300</v>
      </c>
      <c r="F318" s="80">
        <v>12</v>
      </c>
      <c r="G318" s="81">
        <v>4.5999999999999999E-2</v>
      </c>
      <c r="H318" s="82">
        <v>0.89</v>
      </c>
      <c r="I318" s="82">
        <v>1.58</v>
      </c>
      <c r="J318" s="82">
        <v>0.26</v>
      </c>
      <c r="K318" s="82">
        <v>0.44</v>
      </c>
      <c r="L318" s="82">
        <v>3.19</v>
      </c>
      <c r="M318" s="82">
        <v>0.45</v>
      </c>
      <c r="N318" s="82">
        <v>3.46</v>
      </c>
      <c r="O318" s="82">
        <v>7.11</v>
      </c>
      <c r="P318" s="78">
        <f t="shared" si="4"/>
        <v>21.739130434782609</v>
      </c>
    </row>
    <row r="319" spans="1:16" x14ac:dyDescent="0.25">
      <c r="A319" s="72" t="s">
        <v>441</v>
      </c>
      <c r="B319" s="73">
        <v>7</v>
      </c>
      <c r="C319" s="72" t="s">
        <v>33</v>
      </c>
      <c r="D319" s="74">
        <v>6580</v>
      </c>
      <c r="E319" s="75">
        <v>185</v>
      </c>
      <c r="F319" s="75">
        <v>10</v>
      </c>
      <c r="G319" s="76">
        <v>0.16800000000000001</v>
      </c>
      <c r="H319" s="77">
        <v>3.24</v>
      </c>
      <c r="I319" s="77">
        <v>3.31</v>
      </c>
      <c r="J319" s="77">
        <v>0.89</v>
      </c>
      <c r="K319" s="77">
        <v>0.9</v>
      </c>
      <c r="L319" s="77">
        <v>8.36</v>
      </c>
      <c r="M319" s="77">
        <v>0.79</v>
      </c>
      <c r="N319" s="77">
        <v>6.81</v>
      </c>
      <c r="O319" s="77">
        <v>15.97</v>
      </c>
      <c r="P319" s="73">
        <f t="shared" si="4"/>
        <v>5.9523809523809517</v>
      </c>
    </row>
    <row r="320" spans="1:16" x14ac:dyDescent="0.25">
      <c r="A320" s="72" t="s">
        <v>372</v>
      </c>
      <c r="B320" s="73">
        <v>12</v>
      </c>
      <c r="C320" s="72" t="s">
        <v>35</v>
      </c>
      <c r="D320" s="74">
        <v>21100</v>
      </c>
      <c r="E320" s="75">
        <v>185</v>
      </c>
      <c r="F320" s="75">
        <v>10</v>
      </c>
      <c r="G320" s="76">
        <v>9.8000000000000004E-2</v>
      </c>
      <c r="H320" s="77">
        <v>1.89</v>
      </c>
      <c r="I320" s="77">
        <v>2.2200000000000002</v>
      </c>
      <c r="J320" s="77">
        <v>1.68</v>
      </c>
      <c r="K320" s="77">
        <v>0.51</v>
      </c>
      <c r="L320" s="77">
        <v>6.31</v>
      </c>
      <c r="M320" s="77">
        <v>1.48</v>
      </c>
      <c r="N320" s="77">
        <v>3.85</v>
      </c>
      <c r="O320" s="77">
        <v>11.64</v>
      </c>
      <c r="P320" s="73">
        <f t="shared" si="4"/>
        <v>10.204081632653061</v>
      </c>
    </row>
    <row r="321" spans="1:16" x14ac:dyDescent="0.25">
      <c r="A321" s="72" t="s">
        <v>373</v>
      </c>
      <c r="B321" s="73">
        <v>15</v>
      </c>
      <c r="C321" s="72" t="s">
        <v>36</v>
      </c>
      <c r="D321" s="74">
        <v>27600</v>
      </c>
      <c r="E321" s="75">
        <v>185</v>
      </c>
      <c r="F321" s="75">
        <v>10</v>
      </c>
      <c r="G321" s="76">
        <v>7.8E-2</v>
      </c>
      <c r="H321" s="77">
        <v>1.51</v>
      </c>
      <c r="I321" s="77">
        <v>1.78</v>
      </c>
      <c r="J321" s="77">
        <v>1.75</v>
      </c>
      <c r="K321" s="77">
        <v>0.47</v>
      </c>
      <c r="L321" s="77">
        <v>5.53</v>
      </c>
      <c r="M321" s="77">
        <v>1.54</v>
      </c>
      <c r="N321" s="77">
        <v>3.56</v>
      </c>
      <c r="O321" s="77">
        <v>10.64</v>
      </c>
      <c r="P321" s="73">
        <f t="shared" si="4"/>
        <v>12.820512820512821</v>
      </c>
    </row>
    <row r="322" spans="1:16" x14ac:dyDescent="0.25">
      <c r="A322" s="72" t="s">
        <v>374</v>
      </c>
      <c r="B322" s="73">
        <v>20</v>
      </c>
      <c r="C322" s="72" t="s">
        <v>36</v>
      </c>
      <c r="D322" s="74">
        <v>42400</v>
      </c>
      <c r="E322" s="75">
        <v>185</v>
      </c>
      <c r="F322" s="75">
        <v>10</v>
      </c>
      <c r="G322" s="76">
        <v>5.8000000000000003E-2</v>
      </c>
      <c r="H322" s="77">
        <v>1.1299999999999999</v>
      </c>
      <c r="I322" s="77">
        <v>1.33</v>
      </c>
      <c r="J322" s="77">
        <v>2.02</v>
      </c>
      <c r="K322" s="77">
        <v>0.35</v>
      </c>
      <c r="L322" s="77">
        <v>4.8499999999999996</v>
      </c>
      <c r="M322" s="77">
        <v>1.78</v>
      </c>
      <c r="N322" s="77">
        <v>2.67</v>
      </c>
      <c r="O322" s="77">
        <v>9.31</v>
      </c>
      <c r="P322" s="73">
        <f t="shared" si="4"/>
        <v>17.241379310344826</v>
      </c>
    </row>
    <row r="323" spans="1:16" x14ac:dyDescent="0.25">
      <c r="A323" s="5" t="s">
        <v>375</v>
      </c>
      <c r="B323" s="78">
        <v>26</v>
      </c>
      <c r="C323" s="5" t="s">
        <v>38</v>
      </c>
      <c r="D323" s="79">
        <v>37600</v>
      </c>
      <c r="E323" s="80">
        <v>100</v>
      </c>
      <c r="F323" s="80">
        <v>10</v>
      </c>
      <c r="G323" s="81">
        <v>6.3E-2</v>
      </c>
      <c r="H323" s="82">
        <v>1.51</v>
      </c>
      <c r="I323" s="82">
        <v>1.82</v>
      </c>
      <c r="J323" s="82">
        <v>0.59</v>
      </c>
      <c r="K323" s="82">
        <v>0.55000000000000004</v>
      </c>
      <c r="L323" s="82">
        <v>4.4800000000000004</v>
      </c>
      <c r="M323" s="82">
        <v>3.15</v>
      </c>
      <c r="N323" s="82">
        <v>4.3</v>
      </c>
      <c r="O323" s="82">
        <v>11.95</v>
      </c>
      <c r="P323" s="78">
        <f t="shared" si="4"/>
        <v>15.873015873015873</v>
      </c>
    </row>
    <row r="324" spans="1:16" x14ac:dyDescent="0.25">
      <c r="A324" s="5" t="s">
        <v>376</v>
      </c>
      <c r="B324" s="78">
        <v>38</v>
      </c>
      <c r="C324" s="5" t="s">
        <v>39</v>
      </c>
      <c r="D324" s="79">
        <v>49800</v>
      </c>
      <c r="E324" s="80">
        <v>100</v>
      </c>
      <c r="F324" s="80">
        <v>10</v>
      </c>
      <c r="G324" s="81">
        <v>4.2999999999999997E-2</v>
      </c>
      <c r="H324" s="82">
        <v>1.03</v>
      </c>
      <c r="I324" s="82">
        <v>1.47</v>
      </c>
      <c r="J324" s="82">
        <v>0.54</v>
      </c>
      <c r="K324" s="82">
        <v>0.41</v>
      </c>
      <c r="L324" s="82">
        <v>3.46</v>
      </c>
      <c r="M324" s="82">
        <v>2.85</v>
      </c>
      <c r="N324" s="82">
        <v>3.22</v>
      </c>
      <c r="O324" s="82">
        <v>9.5399999999999991</v>
      </c>
      <c r="P324" s="78">
        <f t="shared" si="4"/>
        <v>23.255813953488374</v>
      </c>
    </row>
    <row r="325" spans="1:16" x14ac:dyDescent="0.25">
      <c r="A325" s="5" t="s">
        <v>377</v>
      </c>
      <c r="B325" s="78">
        <v>13</v>
      </c>
      <c r="C325" s="5" t="s">
        <v>33</v>
      </c>
      <c r="D325" s="79">
        <v>18700</v>
      </c>
      <c r="E325" s="80">
        <v>100</v>
      </c>
      <c r="F325" s="80">
        <v>10</v>
      </c>
      <c r="G325" s="81">
        <v>0.126</v>
      </c>
      <c r="H325" s="82">
        <v>3.02</v>
      </c>
      <c r="I325" s="82">
        <v>2.4900000000000002</v>
      </c>
      <c r="J325" s="82">
        <v>0.59</v>
      </c>
      <c r="K325" s="82">
        <v>0.56999999999999995</v>
      </c>
      <c r="L325" s="82">
        <v>6.68</v>
      </c>
      <c r="M325" s="82">
        <v>3.13</v>
      </c>
      <c r="N325" s="82">
        <v>4.28</v>
      </c>
      <c r="O325" s="82">
        <v>14.1</v>
      </c>
      <c r="P325" s="78">
        <f t="shared" si="4"/>
        <v>7.9365079365079367</v>
      </c>
    </row>
    <row r="326" spans="1:16" x14ac:dyDescent="0.25">
      <c r="A326" s="5" t="s">
        <v>378</v>
      </c>
      <c r="B326" s="78">
        <v>21</v>
      </c>
      <c r="C326" s="5" t="s">
        <v>460</v>
      </c>
      <c r="D326" s="79">
        <v>26900</v>
      </c>
      <c r="E326" s="80">
        <v>100</v>
      </c>
      <c r="F326" s="80">
        <v>10</v>
      </c>
      <c r="G326" s="81">
        <v>7.8E-2</v>
      </c>
      <c r="H326" s="82">
        <v>1.87</v>
      </c>
      <c r="I326" s="82">
        <v>2.02</v>
      </c>
      <c r="J326" s="82">
        <v>0.52</v>
      </c>
      <c r="K326" s="82">
        <v>0.28999999999999998</v>
      </c>
      <c r="L326" s="82">
        <v>4.71</v>
      </c>
      <c r="M326" s="82">
        <v>2.79</v>
      </c>
      <c r="N326" s="82">
        <v>2.25</v>
      </c>
      <c r="O326" s="82">
        <v>9.76</v>
      </c>
      <c r="P326" s="78">
        <f t="shared" si="4"/>
        <v>12.820512820512821</v>
      </c>
    </row>
    <row r="327" spans="1:16" x14ac:dyDescent="0.25">
      <c r="A327" s="5" t="s">
        <v>379</v>
      </c>
      <c r="B327" s="78">
        <v>26</v>
      </c>
      <c r="C327" s="5" t="s">
        <v>38</v>
      </c>
      <c r="D327" s="79">
        <v>29300</v>
      </c>
      <c r="E327" s="80">
        <v>100</v>
      </c>
      <c r="F327" s="80">
        <v>10</v>
      </c>
      <c r="G327" s="81">
        <v>2.5999999999999999E-2</v>
      </c>
      <c r="H327" s="82">
        <v>0.63</v>
      </c>
      <c r="I327" s="82">
        <v>0.76</v>
      </c>
      <c r="J327" s="82">
        <v>0.19</v>
      </c>
      <c r="K327" s="82">
        <v>0.23</v>
      </c>
      <c r="L327" s="82">
        <v>1.82</v>
      </c>
      <c r="M327" s="82">
        <v>1.03</v>
      </c>
      <c r="N327" s="82">
        <v>1.8</v>
      </c>
      <c r="O327" s="82">
        <v>4.66</v>
      </c>
      <c r="P327" s="78">
        <f t="shared" si="4"/>
        <v>38.46153846153846</v>
      </c>
    </row>
    <row r="328" spans="1:16" x14ac:dyDescent="0.25">
      <c r="A328" s="5" t="s">
        <v>380</v>
      </c>
      <c r="B328" s="78">
        <v>26</v>
      </c>
      <c r="C328" s="5" t="s">
        <v>39</v>
      </c>
      <c r="D328" s="79">
        <v>31900</v>
      </c>
      <c r="E328" s="80">
        <v>100</v>
      </c>
      <c r="F328" s="80">
        <v>10</v>
      </c>
      <c r="G328" s="81">
        <v>5.8999999999999997E-2</v>
      </c>
      <c r="H328" s="82">
        <v>1.1499999999999999</v>
      </c>
      <c r="I328" s="82">
        <v>2.0299999999999998</v>
      </c>
      <c r="J328" s="82">
        <v>0.47</v>
      </c>
      <c r="K328" s="82">
        <v>0.56999999999999995</v>
      </c>
      <c r="L328" s="82">
        <v>4.2300000000000004</v>
      </c>
      <c r="M328" s="82">
        <v>2.5099999999999998</v>
      </c>
      <c r="N328" s="82">
        <v>4.43</v>
      </c>
      <c r="O328" s="82">
        <v>11.18</v>
      </c>
      <c r="P328" s="78">
        <f t="shared" si="4"/>
        <v>16.949152542372882</v>
      </c>
    </row>
    <row r="329" spans="1:16" x14ac:dyDescent="0.25">
      <c r="A329" s="5" t="s">
        <v>381</v>
      </c>
      <c r="B329" s="78">
        <v>38</v>
      </c>
      <c r="C329" s="5" t="s">
        <v>39</v>
      </c>
      <c r="D329" s="79">
        <v>40100</v>
      </c>
      <c r="E329" s="80">
        <v>100</v>
      </c>
      <c r="F329" s="80">
        <v>10</v>
      </c>
      <c r="G329" s="81">
        <v>0.04</v>
      </c>
      <c r="H329" s="82">
        <v>0.78</v>
      </c>
      <c r="I329" s="82">
        <v>1.39</v>
      </c>
      <c r="J329" s="82">
        <v>0.4</v>
      </c>
      <c r="K329" s="82">
        <v>0.39</v>
      </c>
      <c r="L329" s="82">
        <v>2.98</v>
      </c>
      <c r="M329" s="82">
        <v>2.16</v>
      </c>
      <c r="N329" s="82">
        <v>3.03</v>
      </c>
      <c r="O329" s="82">
        <v>8.18</v>
      </c>
      <c r="P329" s="78">
        <f t="shared" si="4"/>
        <v>25</v>
      </c>
    </row>
    <row r="330" spans="1:16" x14ac:dyDescent="0.25">
      <c r="A330" s="5" t="s">
        <v>382</v>
      </c>
      <c r="B330" s="78">
        <v>13</v>
      </c>
      <c r="C330" s="5" t="s">
        <v>33</v>
      </c>
      <c r="D330" s="79">
        <v>12900</v>
      </c>
      <c r="E330" s="80">
        <v>100</v>
      </c>
      <c r="F330" s="80">
        <v>10</v>
      </c>
      <c r="G330" s="81">
        <v>0.11899999999999999</v>
      </c>
      <c r="H330" s="82">
        <v>2.2999999999999998</v>
      </c>
      <c r="I330" s="82">
        <v>2.35</v>
      </c>
      <c r="J330" s="82">
        <v>0.38</v>
      </c>
      <c r="K330" s="82">
        <v>0.53</v>
      </c>
      <c r="L330" s="82">
        <v>5.57</v>
      </c>
      <c r="M330" s="82">
        <v>2.0299999999999998</v>
      </c>
      <c r="N330" s="82">
        <v>4.03</v>
      </c>
      <c r="O330" s="82">
        <v>11.64</v>
      </c>
      <c r="P330" s="78">
        <f t="shared" ref="P330:P389" si="5">1/G330</f>
        <v>8.4033613445378155</v>
      </c>
    </row>
    <row r="331" spans="1:16" x14ac:dyDescent="0.25">
      <c r="A331" s="5" t="s">
        <v>383</v>
      </c>
      <c r="B331" s="78">
        <v>21</v>
      </c>
      <c r="C331" s="5" t="s">
        <v>460</v>
      </c>
      <c r="D331" s="79">
        <v>21200</v>
      </c>
      <c r="E331" s="80">
        <v>100</v>
      </c>
      <c r="F331" s="80">
        <v>10</v>
      </c>
      <c r="G331" s="81">
        <v>7.2999999999999995E-2</v>
      </c>
      <c r="H331" s="82">
        <v>1.42</v>
      </c>
      <c r="I331" s="82">
        <v>1.9</v>
      </c>
      <c r="J331" s="82">
        <v>0.39</v>
      </c>
      <c r="K331" s="82">
        <v>0.27</v>
      </c>
      <c r="L331" s="82">
        <v>3.99</v>
      </c>
      <c r="M331" s="82">
        <v>2.0699999999999998</v>
      </c>
      <c r="N331" s="82">
        <v>2.12</v>
      </c>
      <c r="O331" s="82">
        <v>8.19</v>
      </c>
      <c r="P331" s="78">
        <f t="shared" si="5"/>
        <v>13.698630136986303</v>
      </c>
    </row>
    <row r="332" spans="1:16" x14ac:dyDescent="0.25">
      <c r="A332" s="5" t="s">
        <v>384</v>
      </c>
      <c r="B332" s="78">
        <v>26</v>
      </c>
      <c r="C332" s="5" t="s">
        <v>38</v>
      </c>
      <c r="D332" s="79">
        <v>23600</v>
      </c>
      <c r="E332" s="80">
        <v>100</v>
      </c>
      <c r="F332" s="80">
        <v>10</v>
      </c>
      <c r="G332" s="81">
        <v>5.8999999999999997E-2</v>
      </c>
      <c r="H332" s="82">
        <v>1.1499999999999999</v>
      </c>
      <c r="I332" s="82">
        <v>1.71</v>
      </c>
      <c r="J332" s="82">
        <v>0.35</v>
      </c>
      <c r="K332" s="82">
        <v>0.52</v>
      </c>
      <c r="L332" s="82">
        <v>3.74</v>
      </c>
      <c r="M332" s="82">
        <v>1.86</v>
      </c>
      <c r="N332" s="82">
        <v>4.05</v>
      </c>
      <c r="O332" s="82">
        <v>9.66</v>
      </c>
      <c r="P332" s="78">
        <f t="shared" si="5"/>
        <v>16.949152542372882</v>
      </c>
    </row>
    <row r="333" spans="1:16" x14ac:dyDescent="0.25">
      <c r="A333" s="5" t="s">
        <v>385</v>
      </c>
      <c r="B333" s="78">
        <v>26</v>
      </c>
      <c r="C333" s="5" t="s">
        <v>38</v>
      </c>
      <c r="D333" s="79">
        <v>38000</v>
      </c>
      <c r="E333" s="80">
        <v>160</v>
      </c>
      <c r="F333" s="80">
        <v>10</v>
      </c>
      <c r="G333" s="81">
        <v>7.1999999999999995E-2</v>
      </c>
      <c r="H333" s="82">
        <v>1.39</v>
      </c>
      <c r="I333" s="82">
        <v>2.0699999999999998</v>
      </c>
      <c r="J333" s="82">
        <v>0.68</v>
      </c>
      <c r="K333" s="82">
        <v>0.63</v>
      </c>
      <c r="L333" s="82">
        <v>4.78</v>
      </c>
      <c r="M333" s="82">
        <v>2.2599999999999998</v>
      </c>
      <c r="N333" s="82">
        <v>4.8899999999999997</v>
      </c>
      <c r="O333" s="82">
        <v>11.94</v>
      </c>
      <c r="P333" s="78">
        <f t="shared" si="5"/>
        <v>13.888888888888889</v>
      </c>
    </row>
    <row r="334" spans="1:16" x14ac:dyDescent="0.25">
      <c r="A334" s="5" t="s">
        <v>386</v>
      </c>
      <c r="B334" s="78">
        <v>30</v>
      </c>
      <c r="C334" s="5" t="s">
        <v>38</v>
      </c>
      <c r="D334" s="79">
        <v>69000</v>
      </c>
      <c r="E334" s="80">
        <v>160</v>
      </c>
      <c r="F334" s="80">
        <v>10</v>
      </c>
      <c r="G334" s="81">
        <v>6.2E-2</v>
      </c>
      <c r="H334" s="82">
        <v>1.2</v>
      </c>
      <c r="I334" s="82">
        <v>1.79</v>
      </c>
      <c r="J334" s="82">
        <v>1.07</v>
      </c>
      <c r="K334" s="82">
        <v>0.54</v>
      </c>
      <c r="L334" s="82">
        <v>4.62</v>
      </c>
      <c r="M334" s="82">
        <v>3.56</v>
      </c>
      <c r="N334" s="82">
        <v>4.24</v>
      </c>
      <c r="O334" s="82">
        <v>12.43</v>
      </c>
      <c r="P334" s="78">
        <f t="shared" si="5"/>
        <v>16.129032258064516</v>
      </c>
    </row>
    <row r="335" spans="1:16" x14ac:dyDescent="0.25">
      <c r="A335" s="5" t="s">
        <v>387</v>
      </c>
      <c r="B335" s="78">
        <v>40</v>
      </c>
      <c r="C335" s="5" t="s">
        <v>39</v>
      </c>
      <c r="D335" s="79">
        <v>57100</v>
      </c>
      <c r="E335" s="80">
        <v>160</v>
      </c>
      <c r="F335" s="80">
        <v>10</v>
      </c>
      <c r="G335" s="81">
        <v>4.5999999999999999E-2</v>
      </c>
      <c r="H335" s="82">
        <v>0.9</v>
      </c>
      <c r="I335" s="82">
        <v>1.59</v>
      </c>
      <c r="J335" s="82">
        <v>0.66</v>
      </c>
      <c r="K335" s="82">
        <v>0.44</v>
      </c>
      <c r="L335" s="82">
        <v>3.61</v>
      </c>
      <c r="M335" s="82">
        <v>2.21</v>
      </c>
      <c r="N335" s="82">
        <v>3.47</v>
      </c>
      <c r="O335" s="82">
        <v>9.3000000000000007</v>
      </c>
      <c r="P335" s="78">
        <f t="shared" si="5"/>
        <v>21.739130434782609</v>
      </c>
    </row>
    <row r="336" spans="1:16" x14ac:dyDescent="0.25">
      <c r="A336" s="5" t="s">
        <v>388</v>
      </c>
      <c r="B336" s="78">
        <v>21</v>
      </c>
      <c r="C336" s="5" t="s">
        <v>38</v>
      </c>
      <c r="D336" s="79">
        <v>38400</v>
      </c>
      <c r="E336" s="80">
        <v>160</v>
      </c>
      <c r="F336" s="80">
        <v>10</v>
      </c>
      <c r="G336" s="81">
        <v>8.8999999999999996E-2</v>
      </c>
      <c r="H336" s="82">
        <v>1.72</v>
      </c>
      <c r="I336" s="82">
        <v>2.56</v>
      </c>
      <c r="J336" s="82">
        <v>0.85</v>
      </c>
      <c r="K336" s="82">
        <v>0.78</v>
      </c>
      <c r="L336" s="82">
        <v>5.93</v>
      </c>
      <c r="M336" s="82">
        <v>2.83</v>
      </c>
      <c r="N336" s="82">
        <v>6.06</v>
      </c>
      <c r="O336" s="82">
        <v>14.82</v>
      </c>
      <c r="P336" s="78">
        <f t="shared" si="5"/>
        <v>11.235955056179776</v>
      </c>
    </row>
    <row r="337" spans="1:16" x14ac:dyDescent="0.25">
      <c r="A337" s="5" t="s">
        <v>389</v>
      </c>
      <c r="B337" s="78">
        <v>26</v>
      </c>
      <c r="C337" s="5" t="s">
        <v>38</v>
      </c>
      <c r="D337" s="79">
        <v>42300</v>
      </c>
      <c r="E337" s="80">
        <v>160</v>
      </c>
      <c r="F337" s="80">
        <v>10</v>
      </c>
      <c r="G337" s="81">
        <v>7.1999999999999995E-2</v>
      </c>
      <c r="H337" s="82">
        <v>1.39</v>
      </c>
      <c r="I337" s="82">
        <v>2.0699999999999998</v>
      </c>
      <c r="J337" s="82">
        <v>0.76</v>
      </c>
      <c r="K337" s="82">
        <v>0.63</v>
      </c>
      <c r="L337" s="82">
        <v>4.8600000000000003</v>
      </c>
      <c r="M337" s="82">
        <v>2.52</v>
      </c>
      <c r="N337" s="82">
        <v>4.8899999999999997</v>
      </c>
      <c r="O337" s="82">
        <v>12.27</v>
      </c>
      <c r="P337" s="78">
        <f t="shared" si="5"/>
        <v>13.888888888888889</v>
      </c>
    </row>
    <row r="338" spans="1:16" x14ac:dyDescent="0.25">
      <c r="A338" s="72" t="s">
        <v>390</v>
      </c>
      <c r="B338" s="83" t="s">
        <v>0</v>
      </c>
      <c r="C338" s="72" t="s">
        <v>38</v>
      </c>
      <c r="D338" s="74">
        <v>14500</v>
      </c>
      <c r="E338" s="75">
        <v>100</v>
      </c>
      <c r="F338" s="75">
        <v>8</v>
      </c>
      <c r="G338" s="76">
        <v>4.2000000000000003E-2</v>
      </c>
      <c r="H338" s="77">
        <v>1.19</v>
      </c>
      <c r="I338" s="77">
        <v>1.21</v>
      </c>
      <c r="J338" s="77">
        <v>0.34</v>
      </c>
      <c r="K338" s="77">
        <v>0.36</v>
      </c>
      <c r="L338" s="77">
        <v>3.11</v>
      </c>
      <c r="M338" s="77">
        <v>0.85</v>
      </c>
      <c r="N338" s="77">
        <v>2.85</v>
      </c>
      <c r="O338" s="77">
        <v>6.83</v>
      </c>
      <c r="P338" s="73">
        <f t="shared" si="5"/>
        <v>23.809523809523807</v>
      </c>
    </row>
    <row r="339" spans="1:16" x14ac:dyDescent="0.25">
      <c r="A339" s="5" t="s">
        <v>391</v>
      </c>
      <c r="B339" s="78">
        <f>75/12</f>
        <v>6.25</v>
      </c>
      <c r="C339" s="5" t="s">
        <v>47</v>
      </c>
      <c r="D339" s="79">
        <v>780</v>
      </c>
      <c r="E339" s="80">
        <v>200</v>
      </c>
      <c r="F339" s="80">
        <v>8</v>
      </c>
      <c r="G339" s="81">
        <v>0.26</v>
      </c>
      <c r="H339" s="82">
        <v>6.19</v>
      </c>
      <c r="I339" s="82">
        <v>0.49</v>
      </c>
      <c r="J339" s="82">
        <v>0.09</v>
      </c>
      <c r="K339" s="82">
        <v>0.49</v>
      </c>
      <c r="L339" s="82">
        <v>7.28</v>
      </c>
      <c r="M339" s="82">
        <v>0.14000000000000001</v>
      </c>
      <c r="N339" s="82">
        <v>2.37</v>
      </c>
      <c r="O339" s="82">
        <v>9.7899999999999991</v>
      </c>
      <c r="P339" s="78">
        <f t="shared" si="5"/>
        <v>3.8461538461538458</v>
      </c>
    </row>
    <row r="340" spans="1:16" x14ac:dyDescent="0.25">
      <c r="A340" s="5" t="s">
        <v>392</v>
      </c>
      <c r="B340" s="78">
        <v>20</v>
      </c>
      <c r="C340" s="5" t="s">
        <v>47</v>
      </c>
      <c r="D340" s="79">
        <v>1530</v>
      </c>
      <c r="E340" s="80">
        <v>200</v>
      </c>
      <c r="F340" s="80">
        <v>8</v>
      </c>
      <c r="G340" s="81">
        <v>8.4000000000000005E-2</v>
      </c>
      <c r="H340" s="82">
        <v>2.0099999999999998</v>
      </c>
      <c r="I340" s="82">
        <v>0.15</v>
      </c>
      <c r="J340" s="82">
        <v>0.06</v>
      </c>
      <c r="K340" s="82">
        <v>0.16</v>
      </c>
      <c r="L340" s="82">
        <v>2.39</v>
      </c>
      <c r="M340" s="82">
        <v>0.09</v>
      </c>
      <c r="N340" s="82">
        <v>0.77</v>
      </c>
      <c r="O340" s="82">
        <v>3.25</v>
      </c>
      <c r="P340" s="78">
        <f t="shared" si="5"/>
        <v>11.904761904761903</v>
      </c>
    </row>
    <row r="341" spans="1:16" x14ac:dyDescent="0.25">
      <c r="A341" s="5" t="s">
        <v>393</v>
      </c>
      <c r="B341" s="78">
        <v>27</v>
      </c>
      <c r="C341" s="5" t="s">
        <v>37</v>
      </c>
      <c r="D341" s="79">
        <v>6100</v>
      </c>
      <c r="E341" s="80">
        <v>200</v>
      </c>
      <c r="F341" s="80">
        <v>8</v>
      </c>
      <c r="G341" s="81">
        <v>6.2E-2</v>
      </c>
      <c r="H341" s="82">
        <v>1.49</v>
      </c>
      <c r="I341" s="82">
        <v>1.61</v>
      </c>
      <c r="J341" s="82">
        <v>0.17</v>
      </c>
      <c r="K341" s="82">
        <v>0.42</v>
      </c>
      <c r="L341" s="82">
        <v>3.71</v>
      </c>
      <c r="M341" s="82">
        <v>0.26</v>
      </c>
      <c r="N341" s="82">
        <v>3.31</v>
      </c>
      <c r="O341" s="82">
        <v>7.29</v>
      </c>
      <c r="P341" s="78">
        <f t="shared" si="5"/>
        <v>16.129032258064516</v>
      </c>
    </row>
    <row r="342" spans="1:16" x14ac:dyDescent="0.25">
      <c r="A342" s="5" t="s">
        <v>394</v>
      </c>
      <c r="B342" s="78">
        <v>40</v>
      </c>
      <c r="C342" s="5" t="s">
        <v>37</v>
      </c>
      <c r="D342" s="79">
        <v>10700</v>
      </c>
      <c r="E342" s="80">
        <v>200</v>
      </c>
      <c r="F342" s="80">
        <v>8</v>
      </c>
      <c r="G342" s="81">
        <v>4.2000000000000003E-2</v>
      </c>
      <c r="H342" s="82">
        <v>1</v>
      </c>
      <c r="I342" s="82">
        <v>1.08</v>
      </c>
      <c r="J342" s="82">
        <v>0.21</v>
      </c>
      <c r="K342" s="82">
        <v>0.28000000000000003</v>
      </c>
      <c r="L342" s="82">
        <v>2.59</v>
      </c>
      <c r="M342" s="82">
        <v>0.31</v>
      </c>
      <c r="N342" s="82">
        <v>2.23</v>
      </c>
      <c r="O342" s="82">
        <v>5.14</v>
      </c>
      <c r="P342" s="78">
        <f t="shared" si="5"/>
        <v>23.809523809523807</v>
      </c>
    </row>
    <row r="343" spans="1:16" x14ac:dyDescent="0.25">
      <c r="A343" s="5" t="s">
        <v>395</v>
      </c>
      <c r="B343" s="78">
        <v>50</v>
      </c>
      <c r="C343" s="5" t="s">
        <v>37</v>
      </c>
      <c r="D343" s="79">
        <v>9900</v>
      </c>
      <c r="E343" s="80">
        <v>200</v>
      </c>
      <c r="F343" s="80">
        <v>8</v>
      </c>
      <c r="G343" s="81">
        <v>3.3000000000000002E-2</v>
      </c>
      <c r="H343" s="82">
        <v>0.8</v>
      </c>
      <c r="I343" s="82">
        <v>0.87</v>
      </c>
      <c r="J343" s="82">
        <v>0.15</v>
      </c>
      <c r="K343" s="82">
        <v>0.23</v>
      </c>
      <c r="L343" s="82">
        <v>2.06</v>
      </c>
      <c r="M343" s="82">
        <v>0.23</v>
      </c>
      <c r="N343" s="82">
        <v>1.78</v>
      </c>
      <c r="O343" s="82">
        <v>4.08</v>
      </c>
      <c r="P343" s="78">
        <f t="shared" si="5"/>
        <v>30.303030303030301</v>
      </c>
    </row>
    <row r="344" spans="1:16" x14ac:dyDescent="0.25">
      <c r="A344" s="5" t="s">
        <v>396</v>
      </c>
      <c r="B344" s="78">
        <v>60</v>
      </c>
      <c r="C344" s="5" t="s">
        <v>37</v>
      </c>
      <c r="D344" s="79">
        <v>18600</v>
      </c>
      <c r="E344" s="80">
        <v>200</v>
      </c>
      <c r="F344" s="80">
        <v>8</v>
      </c>
      <c r="G344" s="81">
        <v>2.8000000000000001E-2</v>
      </c>
      <c r="H344" s="82">
        <v>0.67</v>
      </c>
      <c r="I344" s="82">
        <v>0.72</v>
      </c>
      <c r="J344" s="82">
        <v>0.24</v>
      </c>
      <c r="K344" s="82">
        <v>0.19</v>
      </c>
      <c r="L344" s="82">
        <v>1.83</v>
      </c>
      <c r="M344" s="82">
        <v>0.36</v>
      </c>
      <c r="N344" s="82">
        <v>1.48</v>
      </c>
      <c r="O344" s="82">
        <v>3.69</v>
      </c>
      <c r="P344" s="78">
        <f t="shared" si="5"/>
        <v>35.714285714285715</v>
      </c>
    </row>
    <row r="345" spans="1:16" x14ac:dyDescent="0.25">
      <c r="A345" s="5" t="s">
        <v>397</v>
      </c>
      <c r="B345" s="78">
        <v>27</v>
      </c>
      <c r="C345" s="5" t="s">
        <v>37</v>
      </c>
      <c r="D345" s="79">
        <v>13600</v>
      </c>
      <c r="E345" s="80">
        <v>200</v>
      </c>
      <c r="F345" s="80">
        <v>8</v>
      </c>
      <c r="G345" s="81">
        <v>6.2E-2</v>
      </c>
      <c r="H345" s="82">
        <v>1.49</v>
      </c>
      <c r="I345" s="82">
        <v>1.61</v>
      </c>
      <c r="J345" s="82">
        <v>0.39</v>
      </c>
      <c r="K345" s="82">
        <v>0.42</v>
      </c>
      <c r="L345" s="82">
        <v>3.93</v>
      </c>
      <c r="M345" s="82">
        <v>0.59</v>
      </c>
      <c r="N345" s="82">
        <v>3.31</v>
      </c>
      <c r="O345" s="82">
        <v>7.84</v>
      </c>
      <c r="P345" s="78">
        <f t="shared" si="5"/>
        <v>16.129032258064516</v>
      </c>
    </row>
    <row r="346" spans="1:16" x14ac:dyDescent="0.25">
      <c r="A346" s="5" t="s">
        <v>398</v>
      </c>
      <c r="B346" s="78">
        <v>30</v>
      </c>
      <c r="C346" s="5" t="s">
        <v>37</v>
      </c>
      <c r="D346" s="79">
        <v>19400</v>
      </c>
      <c r="E346" s="80">
        <v>200</v>
      </c>
      <c r="F346" s="80">
        <v>8</v>
      </c>
      <c r="G346" s="81">
        <v>5.6000000000000001E-2</v>
      </c>
      <c r="H346" s="82">
        <v>1.34</v>
      </c>
      <c r="I346" s="82">
        <v>1.45</v>
      </c>
      <c r="J346" s="82">
        <v>0.51</v>
      </c>
      <c r="K346" s="82">
        <v>0.38</v>
      </c>
      <c r="L346" s="82">
        <v>3.69</v>
      </c>
      <c r="M346" s="82">
        <v>0.76</v>
      </c>
      <c r="N346" s="82">
        <v>2.97</v>
      </c>
      <c r="O346" s="82">
        <v>7.43</v>
      </c>
      <c r="P346" s="78">
        <f t="shared" si="5"/>
        <v>17.857142857142858</v>
      </c>
    </row>
    <row r="347" spans="1:16" x14ac:dyDescent="0.25">
      <c r="A347" s="5" t="s">
        <v>399</v>
      </c>
      <c r="B347" s="78">
        <v>40</v>
      </c>
      <c r="C347" s="5" t="s">
        <v>37</v>
      </c>
      <c r="D347" s="79">
        <v>23200</v>
      </c>
      <c r="E347" s="80">
        <v>200</v>
      </c>
      <c r="F347" s="80">
        <v>8</v>
      </c>
      <c r="G347" s="81">
        <v>4.2000000000000003E-2</v>
      </c>
      <c r="H347" s="82">
        <v>1</v>
      </c>
      <c r="I347" s="82">
        <v>1.08</v>
      </c>
      <c r="J347" s="82">
        <v>0.46</v>
      </c>
      <c r="K347" s="82">
        <v>0.28000000000000003</v>
      </c>
      <c r="L347" s="82">
        <v>2.84</v>
      </c>
      <c r="M347" s="82">
        <v>0.68</v>
      </c>
      <c r="N347" s="82">
        <v>2.23</v>
      </c>
      <c r="O347" s="82">
        <v>5.76</v>
      </c>
      <c r="P347" s="78">
        <f t="shared" si="5"/>
        <v>23.809523809523807</v>
      </c>
    </row>
    <row r="348" spans="1:16" x14ac:dyDescent="0.25">
      <c r="A348" s="5" t="s">
        <v>400</v>
      </c>
      <c r="B348" s="78">
        <v>13</v>
      </c>
      <c r="C348" s="5" t="s">
        <v>36</v>
      </c>
      <c r="D348" s="79">
        <v>9170</v>
      </c>
      <c r="E348" s="80">
        <v>200</v>
      </c>
      <c r="F348" s="80">
        <v>8</v>
      </c>
      <c r="G348" s="81">
        <v>0.13</v>
      </c>
      <c r="H348" s="82">
        <v>3.09</v>
      </c>
      <c r="I348" s="82">
        <v>2.95</v>
      </c>
      <c r="J348" s="82">
        <v>0.55000000000000004</v>
      </c>
      <c r="K348" s="82">
        <v>0.78</v>
      </c>
      <c r="L348" s="82">
        <v>7.4</v>
      </c>
      <c r="M348" s="82">
        <v>0.83</v>
      </c>
      <c r="N348" s="82">
        <v>5.9</v>
      </c>
      <c r="O348" s="82">
        <v>14.14</v>
      </c>
      <c r="P348" s="78">
        <f t="shared" si="5"/>
        <v>7.6923076923076916</v>
      </c>
    </row>
    <row r="349" spans="1:16" x14ac:dyDescent="0.25">
      <c r="A349" s="5" t="s">
        <v>401</v>
      </c>
      <c r="B349" s="78">
        <v>20</v>
      </c>
      <c r="C349" s="5" t="s">
        <v>36</v>
      </c>
      <c r="D349" s="79">
        <v>10700</v>
      </c>
      <c r="E349" s="80">
        <v>200</v>
      </c>
      <c r="F349" s="80">
        <v>8</v>
      </c>
      <c r="G349" s="81">
        <v>8.4000000000000005E-2</v>
      </c>
      <c r="H349" s="82">
        <v>2.0099999999999998</v>
      </c>
      <c r="I349" s="82">
        <v>1.92</v>
      </c>
      <c r="J349" s="82">
        <v>0.42</v>
      </c>
      <c r="K349" s="82">
        <v>0.51</v>
      </c>
      <c r="L349" s="82">
        <v>4.87</v>
      </c>
      <c r="M349" s="82">
        <v>0.63</v>
      </c>
      <c r="N349" s="82">
        <v>3.83</v>
      </c>
      <c r="O349" s="82">
        <v>9.34</v>
      </c>
      <c r="P349" s="78">
        <f t="shared" si="5"/>
        <v>11.904761904761903</v>
      </c>
    </row>
    <row r="350" spans="1:16" x14ac:dyDescent="0.25">
      <c r="A350" s="5" t="s">
        <v>402</v>
      </c>
      <c r="B350" s="78">
        <v>27</v>
      </c>
      <c r="C350" s="5" t="s">
        <v>37</v>
      </c>
      <c r="D350" s="79">
        <v>12600</v>
      </c>
      <c r="E350" s="80">
        <v>200</v>
      </c>
      <c r="F350" s="80">
        <v>8</v>
      </c>
      <c r="G350" s="81">
        <v>6.2E-2</v>
      </c>
      <c r="H350" s="82">
        <v>1.49</v>
      </c>
      <c r="I350" s="82">
        <v>1.61</v>
      </c>
      <c r="J350" s="82">
        <v>0.37</v>
      </c>
      <c r="K350" s="82">
        <v>0.42</v>
      </c>
      <c r="L350" s="82">
        <v>3.9</v>
      </c>
      <c r="M350" s="82">
        <v>0.55000000000000004</v>
      </c>
      <c r="N350" s="82">
        <v>3.31</v>
      </c>
      <c r="O350" s="82">
        <v>7.76</v>
      </c>
      <c r="P350" s="78">
        <f t="shared" si="5"/>
        <v>16.129032258064516</v>
      </c>
    </row>
    <row r="351" spans="1:16" x14ac:dyDescent="0.25">
      <c r="A351" s="5" t="s">
        <v>403</v>
      </c>
      <c r="B351" s="78">
        <v>27</v>
      </c>
      <c r="C351" s="5" t="s">
        <v>37</v>
      </c>
      <c r="D351" s="79">
        <v>6100</v>
      </c>
      <c r="E351" s="80">
        <v>200</v>
      </c>
      <c r="F351" s="80">
        <v>8</v>
      </c>
      <c r="G351" s="81">
        <v>6.2E-2</v>
      </c>
      <c r="H351" s="82">
        <v>1.49</v>
      </c>
      <c r="I351" s="82">
        <v>1.61</v>
      </c>
      <c r="J351" s="82">
        <v>0.17</v>
      </c>
      <c r="K351" s="82">
        <v>0.42</v>
      </c>
      <c r="L351" s="82">
        <v>3.71</v>
      </c>
      <c r="M351" s="82">
        <v>0.26</v>
      </c>
      <c r="N351" s="82">
        <v>3.31</v>
      </c>
      <c r="O351" s="82">
        <v>7.29</v>
      </c>
      <c r="P351" s="78">
        <f t="shared" si="5"/>
        <v>16.129032258064516</v>
      </c>
    </row>
    <row r="352" spans="1:16" x14ac:dyDescent="0.25">
      <c r="A352" s="5" t="s">
        <v>404</v>
      </c>
      <c r="B352" s="78">
        <v>40</v>
      </c>
      <c r="C352" s="5" t="s">
        <v>37</v>
      </c>
      <c r="D352" s="79">
        <v>10700</v>
      </c>
      <c r="E352" s="80">
        <v>200</v>
      </c>
      <c r="F352" s="80">
        <v>8</v>
      </c>
      <c r="G352" s="81">
        <v>4.2000000000000003E-2</v>
      </c>
      <c r="H352" s="82">
        <v>1</v>
      </c>
      <c r="I352" s="82">
        <v>1.08</v>
      </c>
      <c r="J352" s="82">
        <v>0.21</v>
      </c>
      <c r="K352" s="82">
        <v>0.28000000000000003</v>
      </c>
      <c r="L352" s="82">
        <v>2.59</v>
      </c>
      <c r="M352" s="82">
        <v>0.31</v>
      </c>
      <c r="N352" s="82">
        <v>2.23</v>
      </c>
      <c r="O352" s="82">
        <v>5.14</v>
      </c>
      <c r="P352" s="78">
        <f t="shared" si="5"/>
        <v>23.809523809523807</v>
      </c>
    </row>
    <row r="353" spans="1:16" x14ac:dyDescent="0.25">
      <c r="A353" s="5" t="s">
        <v>405</v>
      </c>
      <c r="B353" s="78">
        <v>50</v>
      </c>
      <c r="C353" s="5" t="s">
        <v>37</v>
      </c>
      <c r="D353" s="79">
        <v>9900</v>
      </c>
      <c r="E353" s="80">
        <v>200</v>
      </c>
      <c r="F353" s="80">
        <v>8</v>
      </c>
      <c r="G353" s="81">
        <v>3.3000000000000002E-2</v>
      </c>
      <c r="H353" s="82">
        <v>0.8</v>
      </c>
      <c r="I353" s="82">
        <v>0.87</v>
      </c>
      <c r="J353" s="82">
        <v>0.15</v>
      </c>
      <c r="K353" s="82">
        <v>0.23</v>
      </c>
      <c r="L353" s="82">
        <v>2.06</v>
      </c>
      <c r="M353" s="82">
        <v>0.23</v>
      </c>
      <c r="N353" s="82">
        <v>1.78</v>
      </c>
      <c r="O353" s="82">
        <v>4.08</v>
      </c>
      <c r="P353" s="78">
        <f t="shared" si="5"/>
        <v>30.303030303030301</v>
      </c>
    </row>
    <row r="354" spans="1:16" x14ac:dyDescent="0.25">
      <c r="A354" s="5" t="s">
        <v>406</v>
      </c>
      <c r="B354" s="78">
        <v>60</v>
      </c>
      <c r="C354" s="5" t="s">
        <v>37</v>
      </c>
      <c r="D354" s="79">
        <v>18600</v>
      </c>
      <c r="E354" s="80">
        <v>200</v>
      </c>
      <c r="F354" s="80">
        <v>8</v>
      </c>
      <c r="G354" s="81">
        <v>2.8000000000000001E-2</v>
      </c>
      <c r="H354" s="82">
        <v>0.67</v>
      </c>
      <c r="I354" s="82">
        <v>0.72</v>
      </c>
      <c r="J354" s="82">
        <v>0.24</v>
      </c>
      <c r="K354" s="82">
        <v>0.19</v>
      </c>
      <c r="L354" s="82">
        <v>1.83</v>
      </c>
      <c r="M354" s="82">
        <v>0.36</v>
      </c>
      <c r="N354" s="82">
        <v>1.48</v>
      </c>
      <c r="O354" s="82">
        <v>3.69</v>
      </c>
      <c r="P354" s="78">
        <f t="shared" si="5"/>
        <v>35.714285714285715</v>
      </c>
    </row>
    <row r="355" spans="1:16" x14ac:dyDescent="0.25">
      <c r="A355" s="5" t="s">
        <v>407</v>
      </c>
      <c r="B355" s="78">
        <f>(8*30)/12</f>
        <v>20</v>
      </c>
      <c r="C355" s="5" t="s">
        <v>37</v>
      </c>
      <c r="D355" s="79">
        <v>19800</v>
      </c>
      <c r="E355" s="80">
        <v>200</v>
      </c>
      <c r="F355" s="80">
        <v>8</v>
      </c>
      <c r="G355" s="81">
        <v>8.4000000000000005E-2</v>
      </c>
      <c r="H355" s="82">
        <v>2.0099999999999998</v>
      </c>
      <c r="I355" s="82">
        <v>2.17</v>
      </c>
      <c r="J355" s="82">
        <v>0.78</v>
      </c>
      <c r="K355" s="82">
        <v>0.56999999999999995</v>
      </c>
      <c r="L355" s="82">
        <v>5.55</v>
      </c>
      <c r="M355" s="82">
        <v>1.17</v>
      </c>
      <c r="N355" s="82">
        <v>4.46</v>
      </c>
      <c r="O355" s="82">
        <v>11.19</v>
      </c>
      <c r="P355" s="78">
        <f t="shared" si="5"/>
        <v>11.904761904761903</v>
      </c>
    </row>
    <row r="356" spans="1:16" x14ac:dyDescent="0.25">
      <c r="A356" s="5" t="s">
        <v>408</v>
      </c>
      <c r="B356" s="78">
        <f>(8*38)/12</f>
        <v>25.333333333333332</v>
      </c>
      <c r="C356" s="5" t="s">
        <v>37</v>
      </c>
      <c r="D356" s="79">
        <v>20600</v>
      </c>
      <c r="E356" s="80">
        <v>200</v>
      </c>
      <c r="F356" s="80">
        <v>8</v>
      </c>
      <c r="G356" s="81">
        <v>6.6000000000000003E-2</v>
      </c>
      <c r="H356" s="82">
        <v>1.59</v>
      </c>
      <c r="I356" s="82">
        <v>1.72</v>
      </c>
      <c r="J356" s="82">
        <v>0.64</v>
      </c>
      <c r="K356" s="82">
        <v>0.45</v>
      </c>
      <c r="L356" s="82">
        <v>4.41</v>
      </c>
      <c r="M356" s="82">
        <v>0.96</v>
      </c>
      <c r="N356" s="82">
        <v>3.53</v>
      </c>
      <c r="O356" s="82">
        <v>8.91</v>
      </c>
      <c r="P356" s="78">
        <f t="shared" si="5"/>
        <v>15.15151515151515</v>
      </c>
    </row>
    <row r="357" spans="1:16" x14ac:dyDescent="0.25">
      <c r="A357" s="5" t="s">
        <v>409</v>
      </c>
      <c r="B357" s="78">
        <f>(12*30)/12</f>
        <v>30</v>
      </c>
      <c r="C357" s="5" t="s">
        <v>37</v>
      </c>
      <c r="D357" s="79">
        <v>27100</v>
      </c>
      <c r="E357" s="80">
        <v>200</v>
      </c>
      <c r="F357" s="80">
        <v>8</v>
      </c>
      <c r="G357" s="81">
        <v>5.6000000000000001E-2</v>
      </c>
      <c r="H357" s="82">
        <v>1.34</v>
      </c>
      <c r="I357" s="82">
        <v>1.45</v>
      </c>
      <c r="J357" s="82">
        <v>0.71</v>
      </c>
      <c r="K357" s="82">
        <v>0.38</v>
      </c>
      <c r="L357" s="82">
        <v>3.89</v>
      </c>
      <c r="M357" s="82">
        <v>1.07</v>
      </c>
      <c r="N357" s="82">
        <v>2.97</v>
      </c>
      <c r="O357" s="82">
        <v>7.94</v>
      </c>
      <c r="P357" s="78">
        <f t="shared" si="5"/>
        <v>17.857142857142858</v>
      </c>
    </row>
    <row r="358" spans="1:16" x14ac:dyDescent="0.25">
      <c r="A358" s="5" t="s">
        <v>410</v>
      </c>
      <c r="B358" s="78">
        <f>(12*38)/12</f>
        <v>38</v>
      </c>
      <c r="C358" s="5" t="s">
        <v>37</v>
      </c>
      <c r="D358" s="79">
        <v>28200</v>
      </c>
      <c r="E358" s="80">
        <v>200</v>
      </c>
      <c r="F358" s="80">
        <v>8</v>
      </c>
      <c r="G358" s="81">
        <v>4.3999999999999997E-2</v>
      </c>
      <c r="H358" s="82">
        <v>1.06</v>
      </c>
      <c r="I358" s="82">
        <v>1.1399999999999999</v>
      </c>
      <c r="J358" s="82">
        <v>0.57999999999999996</v>
      </c>
      <c r="K358" s="82">
        <v>0.3</v>
      </c>
      <c r="L358" s="82">
        <v>3.09</v>
      </c>
      <c r="M358" s="82">
        <v>0.88</v>
      </c>
      <c r="N358" s="82">
        <v>2.35</v>
      </c>
      <c r="O358" s="82">
        <v>6.33</v>
      </c>
      <c r="P358" s="78">
        <f t="shared" si="5"/>
        <v>22.72727272727273</v>
      </c>
    </row>
    <row r="359" spans="1:16" x14ac:dyDescent="0.25">
      <c r="A359" s="5" t="s">
        <v>411</v>
      </c>
      <c r="B359" s="78">
        <f>(8*30)/12</f>
        <v>20</v>
      </c>
      <c r="C359" s="5" t="s">
        <v>37</v>
      </c>
      <c r="D359" s="79">
        <v>19500</v>
      </c>
      <c r="E359" s="80">
        <v>200</v>
      </c>
      <c r="F359" s="80">
        <v>8</v>
      </c>
      <c r="G359" s="81">
        <v>8.4000000000000005E-2</v>
      </c>
      <c r="H359" s="82">
        <v>2.0099999999999998</v>
      </c>
      <c r="I359" s="82">
        <v>2.17</v>
      </c>
      <c r="J359" s="82">
        <v>0.77</v>
      </c>
      <c r="K359" s="82">
        <v>0.56999999999999995</v>
      </c>
      <c r="L359" s="82">
        <v>5.54</v>
      </c>
      <c r="M359" s="82">
        <v>1.1499999999999999</v>
      </c>
      <c r="N359" s="82">
        <v>4.46</v>
      </c>
      <c r="O359" s="82">
        <v>11.17</v>
      </c>
      <c r="P359" s="78">
        <f t="shared" si="5"/>
        <v>11.904761904761903</v>
      </c>
    </row>
    <row r="360" spans="1:16" x14ac:dyDescent="0.25">
      <c r="A360" s="5" t="s">
        <v>412</v>
      </c>
      <c r="B360" s="78">
        <f>(8*38)/12</f>
        <v>25.333333333333332</v>
      </c>
      <c r="C360" s="5" t="s">
        <v>37</v>
      </c>
      <c r="D360" s="79">
        <v>19500</v>
      </c>
      <c r="E360" s="80">
        <v>200</v>
      </c>
      <c r="F360" s="80">
        <v>8</v>
      </c>
      <c r="G360" s="81">
        <v>6.6000000000000003E-2</v>
      </c>
      <c r="H360" s="82">
        <v>1.59</v>
      </c>
      <c r="I360" s="82">
        <v>1.72</v>
      </c>
      <c r="J360" s="82">
        <v>0.61</v>
      </c>
      <c r="K360" s="82">
        <v>0.45</v>
      </c>
      <c r="L360" s="82">
        <v>4.38</v>
      </c>
      <c r="M360" s="82">
        <v>0.91</v>
      </c>
      <c r="N360" s="82">
        <v>3.53</v>
      </c>
      <c r="O360" s="82">
        <v>8.82</v>
      </c>
      <c r="P360" s="78">
        <f t="shared" si="5"/>
        <v>15.15151515151515</v>
      </c>
    </row>
    <row r="361" spans="1:16" x14ac:dyDescent="0.25">
      <c r="A361" s="5" t="s">
        <v>413</v>
      </c>
      <c r="B361" s="78">
        <f>(8*38)/12</f>
        <v>25.333333333333332</v>
      </c>
      <c r="C361" s="5" t="s">
        <v>37</v>
      </c>
      <c r="D361" s="79">
        <v>29500</v>
      </c>
      <c r="E361" s="80">
        <v>200</v>
      </c>
      <c r="F361" s="80">
        <v>8</v>
      </c>
      <c r="G361" s="81">
        <v>4.3999999999999997E-2</v>
      </c>
      <c r="H361" s="82">
        <v>1.06</v>
      </c>
      <c r="I361" s="82">
        <v>1.1399999999999999</v>
      </c>
      <c r="J361" s="82">
        <v>0.61</v>
      </c>
      <c r="K361" s="82">
        <v>0.3</v>
      </c>
      <c r="L361" s="82">
        <v>3.12</v>
      </c>
      <c r="M361" s="82">
        <v>0.92</v>
      </c>
      <c r="N361" s="82">
        <v>2.35</v>
      </c>
      <c r="O361" s="82">
        <v>6.39</v>
      </c>
      <c r="P361" s="78">
        <f t="shared" si="5"/>
        <v>22.72727272727273</v>
      </c>
    </row>
    <row r="362" spans="1:16" x14ac:dyDescent="0.25">
      <c r="A362" s="5" t="s">
        <v>414</v>
      </c>
      <c r="B362" s="78">
        <f>(12*30)/12</f>
        <v>30</v>
      </c>
      <c r="C362" s="5" t="s">
        <v>37</v>
      </c>
      <c r="D362" s="79">
        <v>29500</v>
      </c>
      <c r="E362" s="80">
        <v>200</v>
      </c>
      <c r="F362" s="80">
        <v>8</v>
      </c>
      <c r="G362" s="81">
        <v>5.6000000000000001E-2</v>
      </c>
      <c r="H362" s="82">
        <v>1.34</v>
      </c>
      <c r="I362" s="82">
        <v>1.45</v>
      </c>
      <c r="J362" s="82">
        <v>0.78</v>
      </c>
      <c r="K362" s="82">
        <v>0.38</v>
      </c>
      <c r="L362" s="82">
        <v>3.95</v>
      </c>
      <c r="M362" s="82">
        <v>1.1599999999999999</v>
      </c>
      <c r="N362" s="82">
        <v>2.97</v>
      </c>
      <c r="O362" s="82">
        <v>8.1</v>
      </c>
      <c r="P362" s="78">
        <f t="shared" si="5"/>
        <v>17.857142857142858</v>
      </c>
    </row>
    <row r="363" spans="1:16" x14ac:dyDescent="0.25">
      <c r="A363" s="5" t="s">
        <v>415</v>
      </c>
      <c r="B363" s="78">
        <f>(12*38)/12</f>
        <v>38</v>
      </c>
      <c r="C363" s="5" t="s">
        <v>37</v>
      </c>
      <c r="D363" s="79">
        <v>29500</v>
      </c>
      <c r="E363" s="80">
        <v>200</v>
      </c>
      <c r="F363" s="80">
        <v>8</v>
      </c>
      <c r="G363" s="81">
        <v>4.3999999999999997E-2</v>
      </c>
      <c r="H363" s="82">
        <v>1.06</v>
      </c>
      <c r="I363" s="82">
        <v>1.1399999999999999</v>
      </c>
      <c r="J363" s="82">
        <v>0.61</v>
      </c>
      <c r="K363" s="82">
        <v>0.3</v>
      </c>
      <c r="L363" s="82">
        <v>3.12</v>
      </c>
      <c r="M363" s="82">
        <v>0.92</v>
      </c>
      <c r="N363" s="82">
        <v>2.35</v>
      </c>
      <c r="O363" s="82">
        <v>6.39</v>
      </c>
      <c r="P363" s="78">
        <f t="shared" si="5"/>
        <v>22.72727272727273</v>
      </c>
    </row>
    <row r="364" spans="1:16" x14ac:dyDescent="0.25">
      <c r="A364" s="5" t="s">
        <v>416</v>
      </c>
      <c r="B364" s="78">
        <f>(16*20)/12</f>
        <v>26.666666666666668</v>
      </c>
      <c r="C364" s="5" t="s">
        <v>39</v>
      </c>
      <c r="D364" s="79">
        <v>34600</v>
      </c>
      <c r="E364" s="80">
        <v>200</v>
      </c>
      <c r="F364" s="80">
        <v>8</v>
      </c>
      <c r="G364" s="81">
        <v>6.2E-2</v>
      </c>
      <c r="H364" s="82">
        <v>1.49</v>
      </c>
      <c r="I364" s="82">
        <v>2.13</v>
      </c>
      <c r="J364" s="82">
        <v>1.01</v>
      </c>
      <c r="K364" s="82">
        <v>0.6</v>
      </c>
      <c r="L364" s="82">
        <v>5.24</v>
      </c>
      <c r="M364" s="82">
        <v>1.52</v>
      </c>
      <c r="N364" s="82">
        <v>4.6500000000000004</v>
      </c>
      <c r="O364" s="82">
        <v>11.41</v>
      </c>
      <c r="P364" s="78">
        <f t="shared" si="5"/>
        <v>16.129032258064516</v>
      </c>
    </row>
    <row r="365" spans="1:16" x14ac:dyDescent="0.25">
      <c r="A365" s="5" t="s">
        <v>417</v>
      </c>
      <c r="B365" s="78">
        <v>50</v>
      </c>
      <c r="C365" s="5" t="s">
        <v>39</v>
      </c>
      <c r="D365" s="79">
        <v>21100</v>
      </c>
      <c r="E365" s="80">
        <v>200</v>
      </c>
      <c r="F365" s="80">
        <v>8</v>
      </c>
      <c r="G365" s="81">
        <v>3.3000000000000002E-2</v>
      </c>
      <c r="H365" s="82">
        <v>0.8</v>
      </c>
      <c r="I365" s="82">
        <v>1.1499999999999999</v>
      </c>
      <c r="J365" s="82">
        <v>0.33</v>
      </c>
      <c r="K365" s="82">
        <v>0.32</v>
      </c>
      <c r="L365" s="82">
        <v>2.61</v>
      </c>
      <c r="M365" s="82">
        <v>0.5</v>
      </c>
      <c r="N365" s="82">
        <v>2.5099999999999998</v>
      </c>
      <c r="O365" s="82">
        <v>5.63</v>
      </c>
      <c r="P365" s="78">
        <f t="shared" si="5"/>
        <v>30.303030303030301</v>
      </c>
    </row>
    <row r="366" spans="1:16" x14ac:dyDescent="0.25">
      <c r="A366" s="5" t="s">
        <v>442</v>
      </c>
      <c r="B366" s="78">
        <v>60</v>
      </c>
      <c r="C366" s="5" t="s">
        <v>39</v>
      </c>
      <c r="D366" s="79">
        <v>75100</v>
      </c>
      <c r="E366" s="80">
        <v>200</v>
      </c>
      <c r="F366" s="80">
        <v>8</v>
      </c>
      <c r="G366" s="81">
        <v>2.8000000000000001E-2</v>
      </c>
      <c r="H366" s="82">
        <v>0.67</v>
      </c>
      <c r="I366" s="82">
        <v>0.96</v>
      </c>
      <c r="J366" s="82">
        <v>0.99</v>
      </c>
      <c r="K366" s="82">
        <v>0.27</v>
      </c>
      <c r="L366" s="82">
        <v>2.89</v>
      </c>
      <c r="M366" s="82">
        <v>1.48</v>
      </c>
      <c r="N366" s="82">
        <v>2.09</v>
      </c>
      <c r="O366" s="82">
        <v>6.47</v>
      </c>
      <c r="P366" s="78">
        <f t="shared" si="5"/>
        <v>35.714285714285715</v>
      </c>
    </row>
    <row r="367" spans="1:16" x14ac:dyDescent="0.25">
      <c r="A367" s="5" t="s">
        <v>443</v>
      </c>
      <c r="B367" s="78">
        <v>80</v>
      </c>
      <c r="C367" s="5" t="s">
        <v>39</v>
      </c>
      <c r="D367" s="79">
        <v>69400</v>
      </c>
      <c r="E367" s="80">
        <v>200</v>
      </c>
      <c r="F367" s="80">
        <v>8</v>
      </c>
      <c r="G367" s="81">
        <v>2.1000000000000001E-2</v>
      </c>
      <c r="H367" s="82">
        <v>0.5</v>
      </c>
      <c r="I367" s="82">
        <v>0.72</v>
      </c>
      <c r="J367" s="82">
        <v>0.68</v>
      </c>
      <c r="K367" s="82">
        <v>0.2</v>
      </c>
      <c r="L367" s="82">
        <v>2.11</v>
      </c>
      <c r="M367" s="82">
        <v>1.03</v>
      </c>
      <c r="N367" s="82">
        <v>1.56</v>
      </c>
      <c r="O367" s="82">
        <v>4.71</v>
      </c>
      <c r="P367" s="78">
        <f t="shared" si="5"/>
        <v>47.619047619047613</v>
      </c>
    </row>
    <row r="368" spans="1:16" x14ac:dyDescent="0.25">
      <c r="A368" s="5" t="s">
        <v>444</v>
      </c>
      <c r="B368" s="78">
        <v>90</v>
      </c>
      <c r="C368" s="5" t="s">
        <v>39</v>
      </c>
      <c r="D368" s="79">
        <v>70400</v>
      </c>
      <c r="E368" s="80">
        <v>200</v>
      </c>
      <c r="F368" s="80">
        <v>8</v>
      </c>
      <c r="G368" s="81">
        <v>1.7999999999999999E-2</v>
      </c>
      <c r="H368" s="82">
        <v>0.44</v>
      </c>
      <c r="I368" s="82">
        <v>0.64</v>
      </c>
      <c r="J368" s="82">
        <v>0.62</v>
      </c>
      <c r="K368" s="82">
        <v>0.18</v>
      </c>
      <c r="L368" s="82">
        <v>1.88</v>
      </c>
      <c r="M368" s="82">
        <v>0.92</v>
      </c>
      <c r="N368" s="82">
        <v>1.39</v>
      </c>
      <c r="O368" s="82">
        <v>4.21</v>
      </c>
      <c r="P368" s="78">
        <f t="shared" si="5"/>
        <v>55.555555555555557</v>
      </c>
    </row>
    <row r="369" spans="1:16" x14ac:dyDescent="0.25">
      <c r="A369" s="5" t="s">
        <v>418</v>
      </c>
      <c r="B369" s="78">
        <v>120</v>
      </c>
      <c r="C369" s="5" t="s">
        <v>39</v>
      </c>
      <c r="D369" s="79">
        <v>121000</v>
      </c>
      <c r="E369" s="80">
        <v>200</v>
      </c>
      <c r="F369" s="80">
        <v>8</v>
      </c>
      <c r="G369" s="81">
        <v>1.4E-2</v>
      </c>
      <c r="H369" s="82">
        <v>0.33</v>
      </c>
      <c r="I369" s="82">
        <v>0.48</v>
      </c>
      <c r="J369" s="82">
        <v>0.79</v>
      </c>
      <c r="K369" s="82">
        <v>0.13</v>
      </c>
      <c r="L369" s="82">
        <v>1.75</v>
      </c>
      <c r="M369" s="82">
        <v>1.19</v>
      </c>
      <c r="N369" s="82">
        <v>1.04</v>
      </c>
      <c r="O369" s="82">
        <v>3.99</v>
      </c>
      <c r="P369" s="78">
        <f t="shared" si="5"/>
        <v>71.428571428571431</v>
      </c>
    </row>
    <row r="370" spans="1:16" x14ac:dyDescent="0.25">
      <c r="A370" s="5" t="s">
        <v>461</v>
      </c>
      <c r="B370" s="78">
        <v>20</v>
      </c>
      <c r="C370" s="5" t="s">
        <v>38</v>
      </c>
      <c r="D370" s="79">
        <v>3800</v>
      </c>
      <c r="E370" s="80">
        <v>200</v>
      </c>
      <c r="F370" s="80">
        <v>8</v>
      </c>
      <c r="G370" s="81">
        <v>8.4000000000000005E-2</v>
      </c>
      <c r="H370" s="82">
        <v>2.0099999999999998</v>
      </c>
      <c r="I370" s="82">
        <v>2.4300000000000002</v>
      </c>
      <c r="J370" s="82">
        <v>0.15</v>
      </c>
      <c r="K370" s="82">
        <v>0.74</v>
      </c>
      <c r="L370" s="82">
        <v>5.34</v>
      </c>
      <c r="M370" s="82">
        <v>0.22</v>
      </c>
      <c r="N370" s="82">
        <v>5.74</v>
      </c>
      <c r="O370" s="82">
        <v>11.31</v>
      </c>
      <c r="P370" s="78">
        <f t="shared" si="5"/>
        <v>11.904761904761903</v>
      </c>
    </row>
    <row r="371" spans="1:16" x14ac:dyDescent="0.25">
      <c r="A371" s="5" t="s">
        <v>419</v>
      </c>
      <c r="B371" s="78">
        <v>27</v>
      </c>
      <c r="C371" s="5" t="s">
        <v>37</v>
      </c>
      <c r="D371" s="79">
        <v>6100</v>
      </c>
      <c r="E371" s="80">
        <v>200</v>
      </c>
      <c r="F371" s="80">
        <v>8</v>
      </c>
      <c r="G371" s="81">
        <v>6.2E-2</v>
      </c>
      <c r="H371" s="82">
        <v>1.49</v>
      </c>
      <c r="I371" s="82">
        <v>1.61</v>
      </c>
      <c r="J371" s="82">
        <v>0.17</v>
      </c>
      <c r="K371" s="82">
        <v>0.42</v>
      </c>
      <c r="L371" s="82">
        <v>3.71</v>
      </c>
      <c r="M371" s="82">
        <v>0.26</v>
      </c>
      <c r="N371" s="82">
        <v>3.31</v>
      </c>
      <c r="O371" s="82">
        <v>7.29</v>
      </c>
      <c r="P371" s="78">
        <f t="shared" si="5"/>
        <v>16.129032258064516</v>
      </c>
    </row>
    <row r="372" spans="1:16" x14ac:dyDescent="0.25">
      <c r="A372" s="5" t="s">
        <v>420</v>
      </c>
      <c r="B372" s="78">
        <v>40</v>
      </c>
      <c r="C372" s="5" t="s">
        <v>37</v>
      </c>
      <c r="D372" s="79">
        <v>10700</v>
      </c>
      <c r="E372" s="80">
        <v>200</v>
      </c>
      <c r="F372" s="80">
        <v>8</v>
      </c>
      <c r="G372" s="81">
        <v>4.2000000000000003E-2</v>
      </c>
      <c r="H372" s="82">
        <v>1</v>
      </c>
      <c r="I372" s="82">
        <v>1.08</v>
      </c>
      <c r="J372" s="82">
        <v>0.21</v>
      </c>
      <c r="K372" s="82">
        <v>0.28000000000000003</v>
      </c>
      <c r="L372" s="82">
        <v>2.59</v>
      </c>
      <c r="M372" s="82">
        <v>0.31</v>
      </c>
      <c r="N372" s="82">
        <v>2.23</v>
      </c>
      <c r="O372" s="82">
        <v>5.14</v>
      </c>
      <c r="P372" s="78">
        <f t="shared" si="5"/>
        <v>23.809523809523807</v>
      </c>
    </row>
    <row r="373" spans="1:16" x14ac:dyDescent="0.25">
      <c r="A373" s="5" t="s">
        <v>421</v>
      </c>
      <c r="B373" s="78">
        <v>50</v>
      </c>
      <c r="C373" s="5" t="s">
        <v>37</v>
      </c>
      <c r="D373" s="79">
        <v>9900</v>
      </c>
      <c r="E373" s="80">
        <v>200</v>
      </c>
      <c r="F373" s="80">
        <v>8</v>
      </c>
      <c r="G373" s="81">
        <v>3.3000000000000002E-2</v>
      </c>
      <c r="H373" s="82">
        <v>0.8</v>
      </c>
      <c r="I373" s="82">
        <v>0.87</v>
      </c>
      <c r="J373" s="82">
        <v>0.15</v>
      </c>
      <c r="K373" s="82">
        <v>0.23</v>
      </c>
      <c r="L373" s="82">
        <v>2.06</v>
      </c>
      <c r="M373" s="82">
        <v>0.23</v>
      </c>
      <c r="N373" s="82">
        <v>1.78</v>
      </c>
      <c r="O373" s="82">
        <v>4.08</v>
      </c>
      <c r="P373" s="78">
        <f t="shared" si="5"/>
        <v>30.303030303030301</v>
      </c>
    </row>
    <row r="374" spans="1:16" x14ac:dyDescent="0.25">
      <c r="A374" s="5" t="s">
        <v>422</v>
      </c>
      <c r="B374" s="78">
        <v>60</v>
      </c>
      <c r="C374" s="5" t="s">
        <v>39</v>
      </c>
      <c r="D374" s="79">
        <v>18600</v>
      </c>
      <c r="E374" s="80">
        <v>200</v>
      </c>
      <c r="F374" s="80">
        <v>8</v>
      </c>
      <c r="G374" s="81">
        <v>2.8000000000000001E-2</v>
      </c>
      <c r="H374" s="82">
        <v>0.67</v>
      </c>
      <c r="I374" s="82">
        <v>0.96</v>
      </c>
      <c r="J374" s="82">
        <v>0.24</v>
      </c>
      <c r="K374" s="82">
        <v>0.27</v>
      </c>
      <c r="L374" s="82">
        <v>2.14</v>
      </c>
      <c r="M374" s="82">
        <v>0.36</v>
      </c>
      <c r="N374" s="82">
        <v>2.09</v>
      </c>
      <c r="O374" s="82">
        <v>4.6100000000000003</v>
      </c>
      <c r="P374" s="78">
        <f t="shared" si="5"/>
        <v>35.714285714285715</v>
      </c>
    </row>
    <row r="375" spans="1:16" x14ac:dyDescent="0.25">
      <c r="A375" s="72" t="s">
        <v>423</v>
      </c>
      <c r="B375" s="73">
        <v>14</v>
      </c>
      <c r="C375" s="72" t="s">
        <v>36</v>
      </c>
      <c r="D375" s="74">
        <v>37500</v>
      </c>
      <c r="E375" s="75">
        <v>200</v>
      </c>
      <c r="F375" s="75">
        <v>10</v>
      </c>
      <c r="G375" s="76">
        <v>0.11700000000000001</v>
      </c>
      <c r="H375" s="77">
        <v>2.27</v>
      </c>
      <c r="I375" s="77">
        <v>2.67</v>
      </c>
      <c r="J375" s="77">
        <v>3.86</v>
      </c>
      <c r="K375" s="77">
        <v>0.71</v>
      </c>
      <c r="L375" s="77">
        <v>9.52</v>
      </c>
      <c r="M375" s="77">
        <v>2.92</v>
      </c>
      <c r="N375" s="77">
        <v>5.34</v>
      </c>
      <c r="O375" s="77">
        <v>17.79</v>
      </c>
      <c r="P375" s="73">
        <f t="shared" si="5"/>
        <v>8.5470085470085468</v>
      </c>
    </row>
    <row r="376" spans="1:16" x14ac:dyDescent="0.25">
      <c r="A376" s="72" t="s">
        <v>424</v>
      </c>
      <c r="B376" s="73">
        <v>12</v>
      </c>
      <c r="C376" s="72" t="s">
        <v>36</v>
      </c>
      <c r="D376" s="74">
        <v>32700</v>
      </c>
      <c r="E376" s="75">
        <v>200</v>
      </c>
      <c r="F376" s="75">
        <v>10</v>
      </c>
      <c r="G376" s="76">
        <v>0.13700000000000001</v>
      </c>
      <c r="H376" s="77">
        <v>2.65</v>
      </c>
      <c r="I376" s="77">
        <v>3.12</v>
      </c>
      <c r="J376" s="77">
        <v>3.93</v>
      </c>
      <c r="K376" s="77">
        <v>0.83</v>
      </c>
      <c r="L376" s="77">
        <v>10.53</v>
      </c>
      <c r="M376" s="77">
        <v>2.97</v>
      </c>
      <c r="N376" s="77">
        <v>6.23</v>
      </c>
      <c r="O376" s="77">
        <v>19.739999999999998</v>
      </c>
      <c r="P376" s="73">
        <f t="shared" si="5"/>
        <v>7.2992700729926998</v>
      </c>
    </row>
    <row r="377" spans="1:16" x14ac:dyDescent="0.25">
      <c r="A377" s="72" t="s">
        <v>425</v>
      </c>
      <c r="B377" s="73">
        <v>15</v>
      </c>
      <c r="C377" s="72" t="s">
        <v>36</v>
      </c>
      <c r="D377" s="74">
        <v>36100</v>
      </c>
      <c r="E377" s="75">
        <v>200</v>
      </c>
      <c r="F377" s="75">
        <v>10</v>
      </c>
      <c r="G377" s="76">
        <v>0.11</v>
      </c>
      <c r="H377" s="77">
        <v>2.12</v>
      </c>
      <c r="I377" s="77">
        <v>2.4900000000000002</v>
      </c>
      <c r="J377" s="77">
        <v>3.47</v>
      </c>
      <c r="K377" s="77">
        <v>0.66</v>
      </c>
      <c r="L377" s="77">
        <v>8.75</v>
      </c>
      <c r="M377" s="77">
        <v>2.62</v>
      </c>
      <c r="N377" s="77">
        <v>4.99</v>
      </c>
      <c r="O377" s="77">
        <v>16.37</v>
      </c>
      <c r="P377" s="73">
        <f t="shared" si="5"/>
        <v>9.0909090909090917</v>
      </c>
    </row>
    <row r="378" spans="1:16" x14ac:dyDescent="0.25">
      <c r="A378" s="72" t="s">
        <v>426</v>
      </c>
      <c r="B378" s="73">
        <v>18</v>
      </c>
      <c r="C378" s="72" t="s">
        <v>36</v>
      </c>
      <c r="D378" s="74">
        <v>53600</v>
      </c>
      <c r="E378" s="75">
        <v>200</v>
      </c>
      <c r="F378" s="75">
        <v>10</v>
      </c>
      <c r="G378" s="76">
        <v>9.0999999999999998E-2</v>
      </c>
      <c r="H378" s="77">
        <v>1.76</v>
      </c>
      <c r="I378" s="77">
        <v>2.08</v>
      </c>
      <c r="J378" s="77">
        <v>4.29</v>
      </c>
      <c r="K378" s="77">
        <v>0.55000000000000004</v>
      </c>
      <c r="L378" s="77">
        <v>8.6999999999999993</v>
      </c>
      <c r="M378" s="77">
        <v>3.24</v>
      </c>
      <c r="N378" s="77">
        <v>4.1500000000000004</v>
      </c>
      <c r="O378" s="77">
        <v>16.100000000000001</v>
      </c>
      <c r="P378" s="73">
        <f t="shared" si="5"/>
        <v>10.989010989010989</v>
      </c>
    </row>
    <row r="379" spans="1:16" x14ac:dyDescent="0.25">
      <c r="A379" s="72" t="s">
        <v>427</v>
      </c>
      <c r="B379" s="73">
        <v>20</v>
      </c>
      <c r="C379" s="72" t="s">
        <v>36</v>
      </c>
      <c r="D379" s="74">
        <v>47600</v>
      </c>
      <c r="E379" s="75">
        <v>200</v>
      </c>
      <c r="F379" s="75">
        <v>10</v>
      </c>
      <c r="G379" s="76">
        <v>8.2000000000000003E-2</v>
      </c>
      <c r="H379" s="77">
        <v>1.59</v>
      </c>
      <c r="I379" s="77">
        <v>1.87</v>
      </c>
      <c r="J379" s="77">
        <v>3.43</v>
      </c>
      <c r="K379" s="77">
        <v>0.49</v>
      </c>
      <c r="L379" s="77">
        <v>7.39</v>
      </c>
      <c r="M379" s="77">
        <v>2.59</v>
      </c>
      <c r="N379" s="77">
        <v>3.74</v>
      </c>
      <c r="O379" s="77">
        <v>13.73</v>
      </c>
      <c r="P379" s="73">
        <f t="shared" si="5"/>
        <v>12.195121951219512</v>
      </c>
    </row>
    <row r="380" spans="1:16" x14ac:dyDescent="0.25">
      <c r="A380" s="72" t="s">
        <v>428</v>
      </c>
      <c r="B380" s="73">
        <v>25</v>
      </c>
      <c r="C380" s="72" t="s">
        <v>36</v>
      </c>
      <c r="D380" s="74">
        <v>72200</v>
      </c>
      <c r="E380" s="75">
        <v>200</v>
      </c>
      <c r="F380" s="75">
        <v>10</v>
      </c>
      <c r="G380" s="76">
        <v>6.6000000000000003E-2</v>
      </c>
      <c r="H380" s="77">
        <v>1.27</v>
      </c>
      <c r="I380" s="77">
        <v>1.49</v>
      </c>
      <c r="J380" s="77">
        <v>4.16</v>
      </c>
      <c r="K380" s="77">
        <v>0.39</v>
      </c>
      <c r="L380" s="77">
        <v>7.34</v>
      </c>
      <c r="M380" s="77">
        <v>3.14</v>
      </c>
      <c r="N380" s="77">
        <v>2.99</v>
      </c>
      <c r="O380" s="77">
        <v>13.48</v>
      </c>
      <c r="P380" s="73">
        <f t="shared" si="5"/>
        <v>15.15151515151515</v>
      </c>
    </row>
    <row r="381" spans="1:16" x14ac:dyDescent="0.25">
      <c r="A381" s="72" t="s">
        <v>429</v>
      </c>
      <c r="B381" s="73">
        <v>20</v>
      </c>
      <c r="C381" s="72" t="s">
        <v>36</v>
      </c>
      <c r="D381" s="74">
        <v>33100</v>
      </c>
      <c r="E381" s="75">
        <v>200</v>
      </c>
      <c r="F381" s="75">
        <v>10</v>
      </c>
      <c r="G381" s="76">
        <v>8.2000000000000003E-2</v>
      </c>
      <c r="H381" s="77">
        <v>1.59</v>
      </c>
      <c r="I381" s="77">
        <v>1.87</v>
      </c>
      <c r="J381" s="77">
        <v>2.38</v>
      </c>
      <c r="K381" s="77">
        <v>0.49</v>
      </c>
      <c r="L381" s="77">
        <v>6.35</v>
      </c>
      <c r="M381" s="77">
        <v>1.8</v>
      </c>
      <c r="N381" s="77">
        <v>3.74</v>
      </c>
      <c r="O381" s="77">
        <v>11.9</v>
      </c>
      <c r="P381" s="73">
        <f t="shared" si="5"/>
        <v>12.195121951219512</v>
      </c>
    </row>
    <row r="382" spans="1:16" x14ac:dyDescent="0.25">
      <c r="A382" s="5" t="s">
        <v>430</v>
      </c>
      <c r="B382" s="78">
        <f>(8*38)/12</f>
        <v>25.333333333333332</v>
      </c>
      <c r="C382" s="5" t="s">
        <v>39</v>
      </c>
      <c r="D382" s="79">
        <v>71400</v>
      </c>
      <c r="E382" s="80">
        <v>150</v>
      </c>
      <c r="F382" s="80">
        <v>10</v>
      </c>
      <c r="G382" s="81">
        <v>6.0999999999999999E-2</v>
      </c>
      <c r="H382" s="82">
        <v>1.18</v>
      </c>
      <c r="I382" s="82">
        <v>2.09</v>
      </c>
      <c r="J382" s="82">
        <v>1.9</v>
      </c>
      <c r="K382" s="82">
        <v>0.59</v>
      </c>
      <c r="L382" s="82">
        <v>5.78</v>
      </c>
      <c r="M382" s="82">
        <v>3.87</v>
      </c>
      <c r="N382" s="82">
        <v>4.57</v>
      </c>
      <c r="O382" s="82">
        <v>14.23</v>
      </c>
      <c r="P382" s="78">
        <f t="shared" si="5"/>
        <v>16.393442622950818</v>
      </c>
    </row>
    <row r="383" spans="1:16" x14ac:dyDescent="0.25">
      <c r="A383" s="5" t="s">
        <v>431</v>
      </c>
      <c r="B383" s="78">
        <f>(12*30)/12</f>
        <v>30</v>
      </c>
      <c r="C383" s="5" t="s">
        <v>39</v>
      </c>
      <c r="D383" s="79">
        <v>121000</v>
      </c>
      <c r="E383" s="80">
        <v>150</v>
      </c>
      <c r="F383" s="80">
        <v>10</v>
      </c>
      <c r="G383" s="81">
        <v>6.0999999999999999E-2</v>
      </c>
      <c r="H383" s="82">
        <v>1.18</v>
      </c>
      <c r="I383" s="82">
        <v>2.09</v>
      </c>
      <c r="J383" s="82">
        <v>3.23</v>
      </c>
      <c r="K383" s="82">
        <v>0.59</v>
      </c>
      <c r="L383" s="82">
        <v>7.1</v>
      </c>
      <c r="M383" s="82">
        <v>6.57</v>
      </c>
      <c r="N383" s="82">
        <v>4.57</v>
      </c>
      <c r="O383" s="82">
        <v>18.25</v>
      </c>
      <c r="P383" s="78">
        <f t="shared" si="5"/>
        <v>16.393442622950818</v>
      </c>
    </row>
    <row r="384" spans="1:16" x14ac:dyDescent="0.25">
      <c r="A384" s="5" t="s">
        <v>432</v>
      </c>
      <c r="B384" s="78">
        <f>(12*40)/12</f>
        <v>40</v>
      </c>
      <c r="C384" s="5" t="s">
        <v>39</v>
      </c>
      <c r="D384" s="79">
        <v>122000</v>
      </c>
      <c r="E384" s="80">
        <v>150</v>
      </c>
      <c r="F384" s="80">
        <v>10</v>
      </c>
      <c r="G384" s="81">
        <v>4.5999999999999999E-2</v>
      </c>
      <c r="H384" s="82">
        <v>0.89</v>
      </c>
      <c r="I384" s="82">
        <v>1.57</v>
      </c>
      <c r="J384" s="82">
        <v>2.44</v>
      </c>
      <c r="K384" s="82">
        <v>0.44</v>
      </c>
      <c r="L384" s="82">
        <v>5.35</v>
      </c>
      <c r="M384" s="82">
        <v>4.96</v>
      </c>
      <c r="N384" s="82">
        <v>3.42</v>
      </c>
      <c r="O384" s="82">
        <v>13.75</v>
      </c>
      <c r="P384" s="78">
        <f t="shared" si="5"/>
        <v>21.739130434782609</v>
      </c>
    </row>
    <row r="385" spans="1:16" x14ac:dyDescent="0.25">
      <c r="A385" s="72" t="s">
        <v>433</v>
      </c>
      <c r="B385" s="73">
        <f>(3*38)/12</f>
        <v>9.5</v>
      </c>
      <c r="C385" s="72" t="s">
        <v>38</v>
      </c>
      <c r="D385" s="74">
        <v>6140</v>
      </c>
      <c r="E385" s="75">
        <v>100</v>
      </c>
      <c r="F385" s="75">
        <v>15</v>
      </c>
      <c r="G385" s="76">
        <v>0.20399999999999999</v>
      </c>
      <c r="H385" s="77">
        <v>3.93</v>
      </c>
      <c r="I385" s="77">
        <v>5.87</v>
      </c>
      <c r="J385" s="77">
        <v>0.41</v>
      </c>
      <c r="K385" s="77">
        <v>1.79</v>
      </c>
      <c r="L385" s="77">
        <v>12.02</v>
      </c>
      <c r="M385" s="77">
        <v>1.37</v>
      </c>
      <c r="N385" s="77">
        <v>13.87</v>
      </c>
      <c r="O385" s="77">
        <v>27.28</v>
      </c>
      <c r="P385" s="73">
        <f t="shared" si="5"/>
        <v>4.9019607843137258</v>
      </c>
    </row>
    <row r="386" spans="1:16" x14ac:dyDescent="0.25">
      <c r="A386" s="72" t="s">
        <v>434</v>
      </c>
      <c r="B386" s="73">
        <f>(4*38)/12</f>
        <v>12.666666666666666</v>
      </c>
      <c r="C386" s="72" t="s">
        <v>39</v>
      </c>
      <c r="D386" s="74">
        <v>14900</v>
      </c>
      <c r="E386" s="75">
        <v>100</v>
      </c>
      <c r="F386" s="75">
        <v>15</v>
      </c>
      <c r="G386" s="76">
        <v>0.153</v>
      </c>
      <c r="H386" s="77">
        <v>2.96</v>
      </c>
      <c r="I386" s="77">
        <v>5.23</v>
      </c>
      <c r="J386" s="77">
        <v>0.76</v>
      </c>
      <c r="K386" s="77">
        <v>1.47</v>
      </c>
      <c r="L386" s="77">
        <v>10.42</v>
      </c>
      <c r="M386" s="77">
        <v>2.5099999999999998</v>
      </c>
      <c r="N386" s="77">
        <v>11.39</v>
      </c>
      <c r="O386" s="77">
        <v>24.34</v>
      </c>
      <c r="P386" s="73">
        <f t="shared" si="5"/>
        <v>6.5359477124183005</v>
      </c>
    </row>
    <row r="387" spans="1:16" x14ac:dyDescent="0.25">
      <c r="A387" s="72" t="s">
        <v>435</v>
      </c>
      <c r="B387" s="73">
        <f>(5*38)/12</f>
        <v>15.833333333333334</v>
      </c>
      <c r="C387" s="72" t="s">
        <v>39</v>
      </c>
      <c r="D387" s="74">
        <v>18600</v>
      </c>
      <c r="E387" s="75">
        <v>100</v>
      </c>
      <c r="F387" s="75">
        <v>15</v>
      </c>
      <c r="G387" s="76">
        <v>0.122</v>
      </c>
      <c r="H387" s="77">
        <v>2.35</v>
      </c>
      <c r="I387" s="77">
        <v>4.16</v>
      </c>
      <c r="J387" s="77">
        <v>0.75</v>
      </c>
      <c r="K387" s="77">
        <v>1.17</v>
      </c>
      <c r="L387" s="77">
        <v>8.4499999999999993</v>
      </c>
      <c r="M387" s="77">
        <v>2.4900000000000002</v>
      </c>
      <c r="N387" s="77">
        <v>9.07</v>
      </c>
      <c r="O387" s="77">
        <v>20.03</v>
      </c>
      <c r="P387" s="73">
        <f t="shared" si="5"/>
        <v>8.1967213114754092</v>
      </c>
    </row>
    <row r="388" spans="1:16" x14ac:dyDescent="0.25">
      <c r="A388" s="72" t="s">
        <v>436</v>
      </c>
      <c r="B388" s="73">
        <f>(6*38)/12</f>
        <v>19</v>
      </c>
      <c r="C388" s="72" t="s">
        <v>39</v>
      </c>
      <c r="D388" s="74">
        <v>28500</v>
      </c>
      <c r="E388" s="75">
        <v>100</v>
      </c>
      <c r="F388" s="75">
        <v>15</v>
      </c>
      <c r="G388" s="76">
        <v>0.10199999999999999</v>
      </c>
      <c r="H388" s="77">
        <v>1.96</v>
      </c>
      <c r="I388" s="77">
        <v>3.47</v>
      </c>
      <c r="J388" s="77">
        <v>0.97</v>
      </c>
      <c r="K388" s="77">
        <v>0.98</v>
      </c>
      <c r="L388" s="77">
        <v>7.39</v>
      </c>
      <c r="M388" s="77">
        <v>3.19</v>
      </c>
      <c r="N388" s="77">
        <v>7.58</v>
      </c>
      <c r="O388" s="77">
        <v>18.170000000000002</v>
      </c>
      <c r="P388" s="73">
        <f t="shared" si="5"/>
        <v>9.8039215686274517</v>
      </c>
    </row>
    <row r="389" spans="1:16" x14ac:dyDescent="0.25">
      <c r="A389" s="72" t="s">
        <v>437</v>
      </c>
      <c r="B389" s="73">
        <f>(8*38)/12</f>
        <v>25.333333333333332</v>
      </c>
      <c r="C389" s="72" t="s">
        <v>39</v>
      </c>
      <c r="D389" s="74">
        <v>26000</v>
      </c>
      <c r="E389" s="75">
        <v>100</v>
      </c>
      <c r="F389" s="75">
        <v>15</v>
      </c>
      <c r="G389" s="76">
        <v>7.5999999999999998E-2</v>
      </c>
      <c r="H389" s="77">
        <v>1.47</v>
      </c>
      <c r="I389" s="77">
        <v>2.6</v>
      </c>
      <c r="J389" s="77">
        <v>0.66</v>
      </c>
      <c r="K389" s="77">
        <v>0.73</v>
      </c>
      <c r="L389" s="77">
        <v>5.47</v>
      </c>
      <c r="M389" s="77">
        <v>2.1800000000000002</v>
      </c>
      <c r="N389" s="77">
        <v>5.67</v>
      </c>
      <c r="O389" s="77">
        <v>13.34</v>
      </c>
      <c r="P389" s="73">
        <f t="shared" si="5"/>
        <v>13.157894736842106</v>
      </c>
    </row>
  </sheetData>
  <sheetProtection algorithmName="SHA-512" hashValue="nwQkc5Z9UkpsgavhmUr7kYhYt/gel40K4uLBCHzTm6edHhHebBIF6D+sYECeQZ0R5PTdhLNiV6oaFqzrb9mMSQ==" saltValue="xG6FISusNCzNU0BUXhpyEw==" spinCount="100000" sheet="1" objects="1" scenarios="1"/>
  <sortState xmlns:xlrd2="http://schemas.microsoft.com/office/spreadsheetml/2017/richdata2" ref="A4:P383">
    <sortCondition ref="A4:A383"/>
  </sortState>
  <pageMargins left="0.7" right="0.7" top="0.75" bottom="0.75" header="0.3" footer="0.3"/>
  <ignoredErrors>
    <ignoredError sqref="B1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14F5E-8AA2-40FF-95D7-7B84FB278AC6}">
  <dimension ref="A1:L38"/>
  <sheetViews>
    <sheetView workbookViewId="0">
      <selection activeCell="N5" sqref="N5"/>
    </sheetView>
  </sheetViews>
  <sheetFormatPr defaultColWidth="9.140625" defaultRowHeight="13.5" x14ac:dyDescent="0.25"/>
  <cols>
    <col min="1" max="1" width="23" style="4" bestFit="1" customWidth="1"/>
    <col min="2" max="2" width="9.42578125" style="8" bestFit="1" customWidth="1"/>
    <col min="3" max="3" width="7.7109375" style="4" bestFit="1" customWidth="1"/>
    <col min="4" max="4" width="7.140625" style="4" bestFit="1" customWidth="1"/>
    <col min="5" max="5" width="8" style="4" bestFit="1" customWidth="1"/>
    <col min="6" max="8" width="6.42578125" style="8" bestFit="1" customWidth="1"/>
    <col min="9" max="9" width="12.28515625" style="8" bestFit="1" customWidth="1"/>
    <col min="10" max="10" width="7.42578125" style="8" bestFit="1" customWidth="1"/>
    <col min="11" max="11" width="10.85546875" style="8" bestFit="1" customWidth="1"/>
    <col min="12" max="12" width="5.42578125" style="4" bestFit="1" customWidth="1"/>
    <col min="13" max="16384" width="9.140625" style="4"/>
  </cols>
  <sheetData>
    <row r="1" spans="1:12" x14ac:dyDescent="0.25">
      <c r="A1" s="3">
        <v>1</v>
      </c>
      <c r="B1" s="3">
        <v>2</v>
      </c>
      <c r="C1" s="3">
        <v>3</v>
      </c>
      <c r="D1" s="3">
        <v>4</v>
      </c>
      <c r="E1" s="3">
        <v>5</v>
      </c>
      <c r="F1" s="3">
        <v>6</v>
      </c>
      <c r="G1" s="3">
        <v>7</v>
      </c>
      <c r="H1" s="3">
        <v>8</v>
      </c>
      <c r="I1" s="3">
        <v>9</v>
      </c>
      <c r="J1" s="3">
        <v>10</v>
      </c>
      <c r="K1" s="3">
        <v>11</v>
      </c>
      <c r="L1" s="3">
        <v>12</v>
      </c>
    </row>
    <row r="2" spans="1:12" ht="40.5" x14ac:dyDescent="0.25">
      <c r="A2" s="85" t="s">
        <v>1</v>
      </c>
      <c r="B2" s="86" t="s">
        <v>2</v>
      </c>
      <c r="C2" s="87" t="s">
        <v>3</v>
      </c>
      <c r="D2" s="87" t="s">
        <v>4</v>
      </c>
      <c r="E2" s="87" t="s">
        <v>5</v>
      </c>
      <c r="F2" s="86" t="s">
        <v>6</v>
      </c>
      <c r="G2" s="86" t="s">
        <v>7</v>
      </c>
      <c r="H2" s="86" t="s">
        <v>8</v>
      </c>
      <c r="I2" s="86" t="s">
        <v>9</v>
      </c>
      <c r="J2" s="86" t="s">
        <v>10</v>
      </c>
      <c r="K2" s="86" t="s">
        <v>11</v>
      </c>
      <c r="L2" s="88" t="s">
        <v>12</v>
      </c>
    </row>
    <row r="3" spans="1:12" x14ac:dyDescent="0.25">
      <c r="A3" s="6" t="s">
        <v>13</v>
      </c>
      <c r="B3" s="69">
        <v>0</v>
      </c>
      <c r="C3" s="70">
        <v>0</v>
      </c>
      <c r="D3" s="70">
        <v>0</v>
      </c>
      <c r="E3" s="68">
        <v>0</v>
      </c>
      <c r="F3" s="69">
        <v>0</v>
      </c>
      <c r="G3" s="69">
        <v>0</v>
      </c>
      <c r="H3" s="69">
        <v>0</v>
      </c>
      <c r="I3" s="69">
        <v>0</v>
      </c>
      <c r="J3" s="69">
        <v>0</v>
      </c>
      <c r="K3" s="69">
        <v>0</v>
      </c>
      <c r="L3" s="89">
        <v>0</v>
      </c>
    </row>
    <row r="4" spans="1:12" x14ac:dyDescent="0.25">
      <c r="A4" s="90" t="s">
        <v>14</v>
      </c>
      <c r="B4" s="74">
        <v>463000</v>
      </c>
      <c r="C4" s="75">
        <v>300</v>
      </c>
      <c r="D4" s="75">
        <v>8</v>
      </c>
      <c r="E4" s="73">
        <v>13.64</v>
      </c>
      <c r="F4" s="77">
        <v>19.28</v>
      </c>
      <c r="G4" s="77">
        <v>40.1</v>
      </c>
      <c r="H4" s="77">
        <v>48.22</v>
      </c>
      <c r="I4" s="77">
        <v>107.61</v>
      </c>
      <c r="J4" s="77">
        <v>230.93</v>
      </c>
      <c r="K4" s="77">
        <v>338.54</v>
      </c>
      <c r="L4" s="91">
        <v>265</v>
      </c>
    </row>
    <row r="5" spans="1:12" x14ac:dyDescent="0.25">
      <c r="A5" s="7" t="s">
        <v>15</v>
      </c>
      <c r="B5" s="79">
        <v>560000</v>
      </c>
      <c r="C5" s="80">
        <v>300</v>
      </c>
      <c r="D5" s="80">
        <v>8</v>
      </c>
      <c r="E5" s="78">
        <v>16.73</v>
      </c>
      <c r="F5" s="82">
        <v>19.28</v>
      </c>
      <c r="G5" s="82">
        <v>49.18</v>
      </c>
      <c r="H5" s="82">
        <v>58.33</v>
      </c>
      <c r="I5" s="82">
        <v>126.79</v>
      </c>
      <c r="J5" s="82">
        <v>279.31</v>
      </c>
      <c r="K5" s="82">
        <v>406.11</v>
      </c>
      <c r="L5" s="89">
        <v>325</v>
      </c>
    </row>
    <row r="6" spans="1:12" x14ac:dyDescent="0.25">
      <c r="A6" s="90" t="s">
        <v>16</v>
      </c>
      <c r="B6" s="74">
        <v>565000</v>
      </c>
      <c r="C6" s="75">
        <v>300</v>
      </c>
      <c r="D6" s="75">
        <v>8</v>
      </c>
      <c r="E6" s="73">
        <v>18.27</v>
      </c>
      <c r="F6" s="77">
        <v>19.28</v>
      </c>
      <c r="G6" s="77">
        <v>53.71</v>
      </c>
      <c r="H6" s="77">
        <v>58.85</v>
      </c>
      <c r="I6" s="77">
        <v>131.84</v>
      </c>
      <c r="J6" s="77">
        <v>281.8</v>
      </c>
      <c r="K6" s="77">
        <v>413.65</v>
      </c>
      <c r="L6" s="91">
        <v>355</v>
      </c>
    </row>
    <row r="7" spans="1:12" x14ac:dyDescent="0.25">
      <c r="A7" s="7" t="s">
        <v>17</v>
      </c>
      <c r="B7" s="79">
        <v>568000</v>
      </c>
      <c r="C7" s="80">
        <v>300</v>
      </c>
      <c r="D7" s="80">
        <v>8</v>
      </c>
      <c r="E7" s="78">
        <v>21.87</v>
      </c>
      <c r="F7" s="82">
        <v>19.28</v>
      </c>
      <c r="G7" s="82">
        <v>64.31</v>
      </c>
      <c r="H7" s="82">
        <v>59.16</v>
      </c>
      <c r="I7" s="82">
        <v>142.76</v>
      </c>
      <c r="J7" s="82">
        <v>283.3</v>
      </c>
      <c r="K7" s="82">
        <v>426.06</v>
      </c>
      <c r="L7" s="89">
        <v>425</v>
      </c>
    </row>
    <row r="8" spans="1:12" x14ac:dyDescent="0.25">
      <c r="A8" s="90" t="s">
        <v>18</v>
      </c>
      <c r="B8" s="74">
        <v>613000</v>
      </c>
      <c r="C8" s="75">
        <v>300</v>
      </c>
      <c r="D8" s="75">
        <v>8</v>
      </c>
      <c r="E8" s="73">
        <v>24.44</v>
      </c>
      <c r="F8" s="77">
        <v>19.28</v>
      </c>
      <c r="G8" s="77">
        <v>71.88</v>
      </c>
      <c r="H8" s="77">
        <v>63.85</v>
      </c>
      <c r="I8" s="77">
        <v>155.01</v>
      </c>
      <c r="J8" s="77">
        <v>305.74</v>
      </c>
      <c r="K8" s="77">
        <v>460.76</v>
      </c>
      <c r="L8" s="91">
        <v>475</v>
      </c>
    </row>
    <row r="9" spans="1:12" x14ac:dyDescent="0.25">
      <c r="A9" s="5" t="s">
        <v>19</v>
      </c>
      <c r="B9" s="79">
        <v>39500</v>
      </c>
      <c r="C9" s="80">
        <v>600</v>
      </c>
      <c r="D9" s="80">
        <v>8</v>
      </c>
      <c r="E9" s="78">
        <v>1.54</v>
      </c>
      <c r="F9" s="82">
        <v>19.28</v>
      </c>
      <c r="G9" s="82">
        <v>4.53</v>
      </c>
      <c r="H9" s="82">
        <v>1.23</v>
      </c>
      <c r="I9" s="82">
        <v>25.05</v>
      </c>
      <c r="J9" s="82">
        <v>9.24</v>
      </c>
      <c r="K9" s="82">
        <v>34.29</v>
      </c>
      <c r="L9" s="89">
        <v>30</v>
      </c>
    </row>
    <row r="10" spans="1:12" x14ac:dyDescent="0.25">
      <c r="A10" s="72" t="s">
        <v>20</v>
      </c>
      <c r="B10" s="74">
        <v>27700</v>
      </c>
      <c r="C10" s="75">
        <v>600</v>
      </c>
      <c r="D10" s="75">
        <v>8</v>
      </c>
      <c r="E10" s="73">
        <v>1.54</v>
      </c>
      <c r="F10" s="77">
        <v>19.28</v>
      </c>
      <c r="G10" s="77">
        <v>4.53</v>
      </c>
      <c r="H10" s="77">
        <v>0.86</v>
      </c>
      <c r="I10" s="77">
        <v>24.68</v>
      </c>
      <c r="J10" s="77">
        <v>6.48</v>
      </c>
      <c r="K10" s="77">
        <v>31.16</v>
      </c>
      <c r="L10" s="91">
        <v>30</v>
      </c>
    </row>
    <row r="11" spans="1:12" x14ac:dyDescent="0.25">
      <c r="A11" s="5" t="s">
        <v>21</v>
      </c>
      <c r="B11" s="79">
        <v>39800</v>
      </c>
      <c r="C11" s="80">
        <v>600</v>
      </c>
      <c r="D11" s="80">
        <v>8</v>
      </c>
      <c r="E11" s="78">
        <v>2.57</v>
      </c>
      <c r="F11" s="82">
        <v>19.28</v>
      </c>
      <c r="G11" s="82">
        <v>7.56</v>
      </c>
      <c r="H11" s="82">
        <v>1.24</v>
      </c>
      <c r="I11" s="82">
        <v>28.09</v>
      </c>
      <c r="J11" s="82">
        <v>9.31</v>
      </c>
      <c r="K11" s="82">
        <v>37.4</v>
      </c>
      <c r="L11" s="89">
        <v>50</v>
      </c>
    </row>
    <row r="12" spans="1:12" x14ac:dyDescent="0.25">
      <c r="A12" s="72" t="s">
        <v>22</v>
      </c>
      <c r="B12" s="74">
        <v>53300</v>
      </c>
      <c r="C12" s="75">
        <v>600</v>
      </c>
      <c r="D12" s="75">
        <v>8</v>
      </c>
      <c r="E12" s="73">
        <v>2.57</v>
      </c>
      <c r="F12" s="77">
        <v>19.28</v>
      </c>
      <c r="G12" s="77">
        <v>7.56</v>
      </c>
      <c r="H12" s="77">
        <v>1.66</v>
      </c>
      <c r="I12" s="77">
        <v>28.51</v>
      </c>
      <c r="J12" s="77">
        <v>12.47</v>
      </c>
      <c r="K12" s="77">
        <v>40.98</v>
      </c>
      <c r="L12" s="91">
        <v>50</v>
      </c>
    </row>
    <row r="13" spans="1:12" x14ac:dyDescent="0.25">
      <c r="A13" s="5" t="s">
        <v>23</v>
      </c>
      <c r="B13" s="79">
        <v>29200</v>
      </c>
      <c r="C13" s="80">
        <v>600</v>
      </c>
      <c r="D13" s="80">
        <v>8</v>
      </c>
      <c r="E13" s="78">
        <v>2.57</v>
      </c>
      <c r="F13" s="82">
        <v>19.28</v>
      </c>
      <c r="G13" s="82">
        <v>7.56</v>
      </c>
      <c r="H13" s="82">
        <v>0.91</v>
      </c>
      <c r="I13" s="82">
        <v>27.75</v>
      </c>
      <c r="J13" s="82">
        <v>6.83</v>
      </c>
      <c r="K13" s="82">
        <v>34.590000000000003</v>
      </c>
      <c r="L13" s="89">
        <v>50</v>
      </c>
    </row>
    <row r="14" spans="1:12" x14ac:dyDescent="0.25">
      <c r="A14" s="72" t="s">
        <v>24</v>
      </c>
      <c r="B14" s="74">
        <v>34300</v>
      </c>
      <c r="C14" s="75">
        <v>600</v>
      </c>
      <c r="D14" s="75">
        <v>8</v>
      </c>
      <c r="E14" s="73">
        <v>2.57</v>
      </c>
      <c r="F14" s="77">
        <v>19.28</v>
      </c>
      <c r="G14" s="77">
        <v>7.56</v>
      </c>
      <c r="H14" s="77">
        <v>1.07</v>
      </c>
      <c r="I14" s="77">
        <v>27.91</v>
      </c>
      <c r="J14" s="77">
        <v>8.02</v>
      </c>
      <c r="K14" s="77">
        <v>35.94</v>
      </c>
      <c r="L14" s="91">
        <v>50</v>
      </c>
    </row>
    <row r="15" spans="1:12" x14ac:dyDescent="0.25">
      <c r="A15" s="5" t="s">
        <v>25</v>
      </c>
      <c r="B15" s="79">
        <v>73800</v>
      </c>
      <c r="C15" s="80">
        <v>600</v>
      </c>
      <c r="D15" s="80">
        <v>8</v>
      </c>
      <c r="E15" s="78">
        <v>3.86</v>
      </c>
      <c r="F15" s="82">
        <v>19.28</v>
      </c>
      <c r="G15" s="82">
        <v>11.34</v>
      </c>
      <c r="H15" s="82">
        <v>2.2999999999999998</v>
      </c>
      <c r="I15" s="82">
        <v>32.93</v>
      </c>
      <c r="J15" s="82">
        <v>17.260000000000002</v>
      </c>
      <c r="K15" s="82">
        <v>50.2</v>
      </c>
      <c r="L15" s="89">
        <v>75</v>
      </c>
    </row>
    <row r="16" spans="1:12" x14ac:dyDescent="0.25">
      <c r="A16" s="72" t="s">
        <v>26</v>
      </c>
      <c r="B16" s="74">
        <v>81600</v>
      </c>
      <c r="C16" s="75">
        <v>600</v>
      </c>
      <c r="D16" s="75">
        <v>8</v>
      </c>
      <c r="E16" s="73">
        <v>3.86</v>
      </c>
      <c r="F16" s="77">
        <v>19.28</v>
      </c>
      <c r="G16" s="77">
        <v>11.34</v>
      </c>
      <c r="H16" s="77">
        <v>2.5499999999999998</v>
      </c>
      <c r="I16" s="77">
        <v>33.17</v>
      </c>
      <c r="J16" s="77">
        <v>19.09</v>
      </c>
      <c r="K16" s="77">
        <v>52.27</v>
      </c>
      <c r="L16" s="91">
        <v>75</v>
      </c>
    </row>
    <row r="17" spans="1:12" x14ac:dyDescent="0.25">
      <c r="A17" s="5" t="s">
        <v>27</v>
      </c>
      <c r="B17" s="79">
        <v>61000</v>
      </c>
      <c r="C17" s="80">
        <v>600</v>
      </c>
      <c r="D17" s="80">
        <v>8</v>
      </c>
      <c r="E17" s="78">
        <v>3.86</v>
      </c>
      <c r="F17" s="82">
        <v>19.28</v>
      </c>
      <c r="G17" s="82">
        <v>11.34</v>
      </c>
      <c r="H17" s="82">
        <v>1.9</v>
      </c>
      <c r="I17" s="82">
        <v>32.53</v>
      </c>
      <c r="J17" s="82">
        <v>14.27</v>
      </c>
      <c r="K17" s="82">
        <v>46.8</v>
      </c>
      <c r="L17" s="89">
        <v>75</v>
      </c>
    </row>
    <row r="18" spans="1:12" x14ac:dyDescent="0.25">
      <c r="A18" s="72" t="s">
        <v>28</v>
      </c>
      <c r="B18" s="74">
        <v>53300</v>
      </c>
      <c r="C18" s="75">
        <v>600</v>
      </c>
      <c r="D18" s="75">
        <v>8</v>
      </c>
      <c r="E18" s="73">
        <v>3.86</v>
      </c>
      <c r="F18" s="77">
        <v>19.28</v>
      </c>
      <c r="G18" s="77">
        <v>11.34</v>
      </c>
      <c r="H18" s="77">
        <v>1.66</v>
      </c>
      <c r="I18" s="77">
        <v>32.29</v>
      </c>
      <c r="J18" s="77">
        <v>12.47</v>
      </c>
      <c r="K18" s="77">
        <v>44.76</v>
      </c>
      <c r="L18" s="91">
        <v>75</v>
      </c>
    </row>
    <row r="19" spans="1:12" x14ac:dyDescent="0.25">
      <c r="A19" s="5" t="s">
        <v>29</v>
      </c>
      <c r="B19" s="79">
        <v>113000</v>
      </c>
      <c r="C19" s="80">
        <v>600</v>
      </c>
      <c r="D19" s="80">
        <v>8</v>
      </c>
      <c r="E19" s="78">
        <v>5.4</v>
      </c>
      <c r="F19" s="82">
        <v>19.28</v>
      </c>
      <c r="G19" s="82">
        <v>15.88</v>
      </c>
      <c r="H19" s="82">
        <v>3.53</v>
      </c>
      <c r="I19" s="82">
        <v>38.700000000000003</v>
      </c>
      <c r="J19" s="82">
        <v>26.44</v>
      </c>
      <c r="K19" s="82">
        <v>64.14</v>
      </c>
      <c r="L19" s="89">
        <v>105</v>
      </c>
    </row>
    <row r="20" spans="1:12" x14ac:dyDescent="0.25">
      <c r="A20" s="72" t="s">
        <v>30</v>
      </c>
      <c r="B20" s="74">
        <v>115000</v>
      </c>
      <c r="C20" s="75">
        <v>600</v>
      </c>
      <c r="D20" s="75">
        <v>8</v>
      </c>
      <c r="E20" s="73">
        <v>5.4</v>
      </c>
      <c r="F20" s="77">
        <v>19.28</v>
      </c>
      <c r="G20" s="77">
        <v>15.88</v>
      </c>
      <c r="H20" s="77">
        <v>3.59</v>
      </c>
      <c r="I20" s="77">
        <v>38.76</v>
      </c>
      <c r="J20" s="77">
        <v>26.9</v>
      </c>
      <c r="K20" s="77">
        <v>65.67</v>
      </c>
      <c r="L20" s="91">
        <v>105</v>
      </c>
    </row>
    <row r="21" spans="1:12" x14ac:dyDescent="0.25">
      <c r="A21" s="5" t="s">
        <v>31</v>
      </c>
      <c r="B21" s="79">
        <v>113700</v>
      </c>
      <c r="C21" s="80">
        <v>600</v>
      </c>
      <c r="D21" s="80">
        <v>8</v>
      </c>
      <c r="E21" s="78">
        <v>5.4</v>
      </c>
      <c r="F21" s="82">
        <v>19.28</v>
      </c>
      <c r="G21" s="82">
        <v>15.88</v>
      </c>
      <c r="H21" s="82">
        <v>3.55</v>
      </c>
      <c r="I21" s="82">
        <v>38.72</v>
      </c>
      <c r="J21" s="82">
        <v>26.6</v>
      </c>
      <c r="K21" s="82">
        <v>65.319999999999993</v>
      </c>
      <c r="L21" s="89">
        <v>105</v>
      </c>
    </row>
    <row r="22" spans="1:12" x14ac:dyDescent="0.25">
      <c r="A22" s="72" t="s">
        <v>32</v>
      </c>
      <c r="B22" s="74">
        <v>111000</v>
      </c>
      <c r="C22" s="75">
        <v>600</v>
      </c>
      <c r="D22" s="75">
        <v>8</v>
      </c>
      <c r="E22" s="73">
        <v>5.4</v>
      </c>
      <c r="F22" s="77">
        <v>19.28</v>
      </c>
      <c r="G22" s="77">
        <v>15.88</v>
      </c>
      <c r="H22" s="77">
        <v>3.46</v>
      </c>
      <c r="I22" s="77">
        <v>38.630000000000003</v>
      </c>
      <c r="J22" s="77">
        <v>25.97</v>
      </c>
      <c r="K22" s="77">
        <v>64.61</v>
      </c>
      <c r="L22" s="91">
        <v>105</v>
      </c>
    </row>
    <row r="23" spans="1:12" x14ac:dyDescent="0.25">
      <c r="A23" s="5" t="s">
        <v>33</v>
      </c>
      <c r="B23" s="79">
        <v>144300</v>
      </c>
      <c r="C23" s="80">
        <v>600</v>
      </c>
      <c r="D23" s="80">
        <v>8</v>
      </c>
      <c r="E23" s="78">
        <v>6.69</v>
      </c>
      <c r="F23" s="82">
        <v>19.28</v>
      </c>
      <c r="G23" s="82">
        <v>19.670000000000002</v>
      </c>
      <c r="H23" s="82">
        <v>4.5</v>
      </c>
      <c r="I23" s="82">
        <v>43.46</v>
      </c>
      <c r="J23" s="82">
        <v>33.76</v>
      </c>
      <c r="K23" s="82">
        <v>77.22</v>
      </c>
      <c r="L23" s="89">
        <v>130</v>
      </c>
    </row>
    <row r="24" spans="1:12" x14ac:dyDescent="0.25">
      <c r="A24" s="72" t="s">
        <v>34</v>
      </c>
      <c r="B24" s="74">
        <v>172900</v>
      </c>
      <c r="C24" s="75">
        <v>600</v>
      </c>
      <c r="D24" s="75">
        <v>8</v>
      </c>
      <c r="E24" s="73">
        <v>6.69</v>
      </c>
      <c r="F24" s="77">
        <v>19.28</v>
      </c>
      <c r="G24" s="77">
        <v>19.670000000000002</v>
      </c>
      <c r="H24" s="77">
        <v>5.4</v>
      </c>
      <c r="I24" s="77">
        <v>44.35</v>
      </c>
      <c r="J24" s="77">
        <v>40.450000000000003</v>
      </c>
      <c r="K24" s="77">
        <v>84.81</v>
      </c>
      <c r="L24" s="91">
        <v>130</v>
      </c>
    </row>
    <row r="25" spans="1:12" x14ac:dyDescent="0.25">
      <c r="A25" s="5" t="s">
        <v>35</v>
      </c>
      <c r="B25" s="79">
        <v>167600</v>
      </c>
      <c r="C25" s="80">
        <v>600</v>
      </c>
      <c r="D25" s="80">
        <v>8</v>
      </c>
      <c r="E25" s="78">
        <v>7.72</v>
      </c>
      <c r="F25" s="82">
        <v>19.28</v>
      </c>
      <c r="G25" s="82">
        <v>22.69</v>
      </c>
      <c r="H25" s="82">
        <v>5.23</v>
      </c>
      <c r="I25" s="82">
        <v>47.21</v>
      </c>
      <c r="J25" s="82">
        <v>39.21</v>
      </c>
      <c r="K25" s="82">
        <v>86.43</v>
      </c>
      <c r="L25" s="89">
        <v>150</v>
      </c>
    </row>
    <row r="26" spans="1:12" x14ac:dyDescent="0.25">
      <c r="A26" s="72" t="s">
        <v>36</v>
      </c>
      <c r="B26" s="74">
        <v>193900</v>
      </c>
      <c r="C26" s="75">
        <v>600</v>
      </c>
      <c r="D26" s="75">
        <v>8</v>
      </c>
      <c r="E26" s="73">
        <v>7.72</v>
      </c>
      <c r="F26" s="77">
        <v>19.28</v>
      </c>
      <c r="G26" s="77">
        <v>22.69</v>
      </c>
      <c r="H26" s="77">
        <v>6.05</v>
      </c>
      <c r="I26" s="77">
        <v>48.03</v>
      </c>
      <c r="J26" s="77">
        <v>45.37</v>
      </c>
      <c r="K26" s="77">
        <v>93.41</v>
      </c>
      <c r="L26" s="91">
        <v>150</v>
      </c>
    </row>
    <row r="27" spans="1:12" x14ac:dyDescent="0.25">
      <c r="A27" s="5" t="s">
        <v>37</v>
      </c>
      <c r="B27" s="79">
        <v>218500</v>
      </c>
      <c r="C27" s="80">
        <v>600</v>
      </c>
      <c r="D27" s="80">
        <v>8</v>
      </c>
      <c r="E27" s="78">
        <v>8.75</v>
      </c>
      <c r="F27" s="82">
        <v>19.28</v>
      </c>
      <c r="G27" s="82">
        <v>25.72</v>
      </c>
      <c r="H27" s="82">
        <v>6.82</v>
      </c>
      <c r="I27" s="82">
        <v>51.83</v>
      </c>
      <c r="J27" s="82">
        <v>52.8</v>
      </c>
      <c r="K27" s="82">
        <v>104.64</v>
      </c>
      <c r="L27" s="89">
        <v>170</v>
      </c>
    </row>
    <row r="28" spans="1:12" x14ac:dyDescent="0.25">
      <c r="A28" s="72" t="s">
        <v>38</v>
      </c>
      <c r="B28" s="74">
        <v>281000</v>
      </c>
      <c r="C28" s="75">
        <v>600</v>
      </c>
      <c r="D28" s="75">
        <v>8</v>
      </c>
      <c r="E28" s="73">
        <v>9.77</v>
      </c>
      <c r="F28" s="77">
        <v>19.28</v>
      </c>
      <c r="G28" s="77">
        <v>28.75</v>
      </c>
      <c r="H28" s="77">
        <v>8.7799999999999994</v>
      </c>
      <c r="I28" s="77">
        <v>56.81</v>
      </c>
      <c r="J28" s="77">
        <v>67.91</v>
      </c>
      <c r="K28" s="77">
        <v>124.72</v>
      </c>
      <c r="L28" s="91">
        <v>190</v>
      </c>
    </row>
    <row r="29" spans="1:12" x14ac:dyDescent="0.25">
      <c r="A29" s="5" t="s">
        <v>39</v>
      </c>
      <c r="B29" s="79">
        <v>307000</v>
      </c>
      <c r="C29" s="80">
        <v>600</v>
      </c>
      <c r="D29" s="80">
        <v>8</v>
      </c>
      <c r="E29" s="78">
        <v>11.58</v>
      </c>
      <c r="F29" s="82">
        <v>19.28</v>
      </c>
      <c r="G29" s="82">
        <v>34.04</v>
      </c>
      <c r="H29" s="82">
        <v>9.59</v>
      </c>
      <c r="I29" s="82">
        <v>62.92</v>
      </c>
      <c r="J29" s="82">
        <v>74.19</v>
      </c>
      <c r="K29" s="82">
        <v>137.12</v>
      </c>
      <c r="L29" s="89">
        <v>225</v>
      </c>
    </row>
    <row r="30" spans="1:12" x14ac:dyDescent="0.25">
      <c r="A30" s="72" t="s">
        <v>40</v>
      </c>
      <c r="B30" s="74">
        <v>458000</v>
      </c>
      <c r="C30" s="75">
        <v>600</v>
      </c>
      <c r="D30" s="75">
        <v>8</v>
      </c>
      <c r="E30" s="73">
        <v>15.44</v>
      </c>
      <c r="F30" s="77">
        <v>19.28</v>
      </c>
      <c r="G30" s="77">
        <v>45.39</v>
      </c>
      <c r="H30" s="77">
        <v>14.31</v>
      </c>
      <c r="I30" s="77">
        <v>78.989999999999995</v>
      </c>
      <c r="J30" s="77">
        <v>110.69</v>
      </c>
      <c r="K30" s="77">
        <v>189.68</v>
      </c>
      <c r="L30" s="91">
        <v>300</v>
      </c>
    </row>
    <row r="31" spans="1:12" x14ac:dyDescent="0.25">
      <c r="A31" s="5" t="s">
        <v>41</v>
      </c>
      <c r="B31" s="79">
        <v>395000</v>
      </c>
      <c r="C31" s="80">
        <v>600</v>
      </c>
      <c r="D31" s="80">
        <v>8</v>
      </c>
      <c r="E31" s="78">
        <v>15.44</v>
      </c>
      <c r="F31" s="82">
        <v>19.28</v>
      </c>
      <c r="G31" s="82">
        <v>45.39</v>
      </c>
      <c r="H31" s="82">
        <v>12.34</v>
      </c>
      <c r="I31" s="82">
        <v>77.02</v>
      </c>
      <c r="J31" s="82">
        <v>95.46</v>
      </c>
      <c r="K31" s="82">
        <v>172.49</v>
      </c>
      <c r="L31" s="89">
        <v>300</v>
      </c>
    </row>
    <row r="32" spans="1:12" x14ac:dyDescent="0.25">
      <c r="A32" s="72" t="s">
        <v>42</v>
      </c>
      <c r="B32" s="74">
        <v>329000</v>
      </c>
      <c r="C32" s="75">
        <v>600</v>
      </c>
      <c r="D32" s="75">
        <v>8</v>
      </c>
      <c r="E32" s="73">
        <v>15.44</v>
      </c>
      <c r="F32" s="77">
        <v>19.28</v>
      </c>
      <c r="G32" s="77">
        <v>45.39</v>
      </c>
      <c r="H32" s="77">
        <v>10.28</v>
      </c>
      <c r="I32" s="77">
        <v>74.959999999999994</v>
      </c>
      <c r="J32" s="77">
        <v>79.510000000000005</v>
      </c>
      <c r="K32" s="77">
        <v>154.47</v>
      </c>
      <c r="L32" s="91">
        <v>300</v>
      </c>
    </row>
    <row r="33" spans="1:12" x14ac:dyDescent="0.25">
      <c r="A33" s="5" t="s">
        <v>43</v>
      </c>
      <c r="B33" s="79">
        <v>519000</v>
      </c>
      <c r="C33" s="80">
        <v>600</v>
      </c>
      <c r="D33" s="80">
        <v>8</v>
      </c>
      <c r="E33" s="78">
        <v>20.58</v>
      </c>
      <c r="F33" s="82">
        <v>19.28</v>
      </c>
      <c r="G33" s="82">
        <v>60.53</v>
      </c>
      <c r="H33" s="82">
        <v>16.21</v>
      </c>
      <c r="I33" s="82">
        <v>96.03</v>
      </c>
      <c r="J33" s="82">
        <v>125.43</v>
      </c>
      <c r="K33" s="82">
        <v>221.46</v>
      </c>
      <c r="L33" s="89">
        <v>400</v>
      </c>
    </row>
    <row r="34" spans="1:12" x14ac:dyDescent="0.25">
      <c r="A34" s="72" t="s">
        <v>44</v>
      </c>
      <c r="B34" s="74">
        <v>645000</v>
      </c>
      <c r="C34" s="75">
        <v>600</v>
      </c>
      <c r="D34" s="75">
        <v>8</v>
      </c>
      <c r="E34" s="73">
        <v>20.58</v>
      </c>
      <c r="F34" s="77">
        <v>19.28</v>
      </c>
      <c r="G34" s="77">
        <v>60.53</v>
      </c>
      <c r="H34" s="77">
        <v>20.149999999999999</v>
      </c>
      <c r="I34" s="77">
        <v>99.96</v>
      </c>
      <c r="J34" s="77">
        <v>155.88999999999999</v>
      </c>
      <c r="K34" s="77">
        <v>255.85</v>
      </c>
      <c r="L34" s="91">
        <v>400</v>
      </c>
    </row>
    <row r="35" spans="1:12" x14ac:dyDescent="0.25">
      <c r="A35" s="5" t="s">
        <v>45</v>
      </c>
      <c r="B35" s="79">
        <v>601000</v>
      </c>
      <c r="C35" s="80">
        <v>600</v>
      </c>
      <c r="D35" s="80">
        <v>8</v>
      </c>
      <c r="E35" s="78">
        <v>25.73</v>
      </c>
      <c r="F35" s="82">
        <v>19.28</v>
      </c>
      <c r="G35" s="82">
        <v>75.66</v>
      </c>
      <c r="H35" s="82">
        <v>18.78</v>
      </c>
      <c r="I35" s="82">
        <v>113.72</v>
      </c>
      <c r="J35" s="82">
        <v>145.25</v>
      </c>
      <c r="K35" s="82">
        <v>258.98</v>
      </c>
      <c r="L35" s="89">
        <v>500</v>
      </c>
    </row>
    <row r="36" spans="1:12" x14ac:dyDescent="0.25">
      <c r="A36" s="72" t="s">
        <v>46</v>
      </c>
      <c r="B36" s="74">
        <v>700000</v>
      </c>
      <c r="C36" s="75">
        <v>600</v>
      </c>
      <c r="D36" s="75">
        <v>8</v>
      </c>
      <c r="E36" s="73">
        <v>25.73</v>
      </c>
      <c r="F36" s="77">
        <v>19.28</v>
      </c>
      <c r="G36" s="77">
        <v>75.66</v>
      </c>
      <c r="H36" s="77">
        <v>21.87</v>
      </c>
      <c r="I36" s="77">
        <v>116.81</v>
      </c>
      <c r="J36" s="77">
        <v>169.18</v>
      </c>
      <c r="K36" s="77">
        <v>286</v>
      </c>
      <c r="L36" s="91">
        <v>500</v>
      </c>
    </row>
    <row r="37" spans="1:12" x14ac:dyDescent="0.25">
      <c r="A37" s="5" t="s">
        <v>47</v>
      </c>
      <c r="B37" s="79">
        <v>12200</v>
      </c>
      <c r="C37" s="80">
        <v>200</v>
      </c>
      <c r="D37" s="80">
        <v>8</v>
      </c>
      <c r="E37" s="78">
        <v>0.7</v>
      </c>
      <c r="F37" s="82">
        <v>19.28</v>
      </c>
      <c r="G37" s="82">
        <v>1.88</v>
      </c>
      <c r="H37" s="82">
        <v>1.9</v>
      </c>
      <c r="I37" s="82">
        <v>23.06</v>
      </c>
      <c r="J37" s="82">
        <v>9.1199999999999992</v>
      </c>
      <c r="K37" s="82">
        <v>32.19</v>
      </c>
      <c r="L37" s="89">
        <f>800/15</f>
        <v>53.333333333333336</v>
      </c>
    </row>
    <row r="38" spans="1:12" x14ac:dyDescent="0.25">
      <c r="A38" s="72" t="s">
        <v>48</v>
      </c>
      <c r="B38" s="74">
        <v>18700</v>
      </c>
      <c r="C38" s="75">
        <v>200</v>
      </c>
      <c r="D38" s="75">
        <v>8</v>
      </c>
      <c r="E38" s="73">
        <v>1</v>
      </c>
      <c r="F38" s="77">
        <v>19.28</v>
      </c>
      <c r="G38" s="77">
        <v>2.69</v>
      </c>
      <c r="H38" s="77">
        <v>2.92</v>
      </c>
      <c r="I38" s="77">
        <v>24.89</v>
      </c>
      <c r="J38" s="77">
        <v>13.99</v>
      </c>
      <c r="K38" s="77">
        <v>38.880000000000003</v>
      </c>
      <c r="L38" s="91">
        <f>900/15</f>
        <v>60</v>
      </c>
    </row>
  </sheetData>
  <sheetProtection algorithmName="SHA-512" hashValue="GdbV26FoOajgu/GtZdGw9IOrbM4d27uJgmmR9Z4yWteCv/IbFaGkx7e0tCGhyXIoGc8tGMUCkrEkTOdlpVRpSA==" saltValue="oDBq3X9NF0OM/NK2ci3abw==" spinCount="100000" sheet="1" objects="1" scenarios="1"/>
  <pageMargins left="0.7" right="0.7" top="0.75" bottom="0.75" header="0.3" footer="0.3"/>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RECOMMENDATIONS</vt:lpstr>
      <vt:lpstr>TOWED_IMPLEMENTS</vt:lpstr>
      <vt:lpstr>COMBINE_TRACTOR_UTV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Morton, Trent - REE-ARS</dc:creator>
  <cp:lastModifiedBy>Torbert, Allen - REE-ARS</cp:lastModifiedBy>
  <cp:lastPrinted>2025-11-19T16:11:47Z</cp:lastPrinted>
  <dcterms:created xsi:type="dcterms:W3CDTF">2025-08-27T13:16:59Z</dcterms:created>
  <dcterms:modified xsi:type="dcterms:W3CDTF">2026-05-02T12:12:48Z</dcterms:modified>
</cp:coreProperties>
</file>